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comments1.xml" ContentType="application/vnd.openxmlformats-officedocument.spreadsheetml.comments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externalLinks/externalLink11.xml" ContentType="application/vnd.openxmlformats-officedocument.spreadsheetml.externalLink+xml"/>
  <Override PartName="/xl/comments2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8.xml" ContentType="application/vnd.openxmlformats-officedocument.spreadsheetml.externalLink+xml"/>
  <Override PartName="/xl/comments4.xml" ContentType="application/vnd.openxmlformats-officedocument.spreadsheetml.comments+xml"/>
  <Override PartName="/xl/externalLinks/externalLink10.xml" ContentType="application/vnd.openxmlformats-officedocument.spreadsheetml.externalLink+xml"/>
  <Override PartName="/xl/comments3.xml" ContentType="application/vnd.openxmlformats-officedocument.spreadsheetml.comments+xml"/>
  <Override PartName="/xl/externalLinks/externalLink9.xml" ContentType="application/vnd.openxmlformats-officedocument.spreadsheetml.externalLink+xml"/>
  <Override PartName="/xl/externalLinks/externalLink1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Western Region\WUTC\WUTC-Murrey  2111\Misc UTC Filings\COVID Expense Recovery 6.1.2021\"/>
    </mc:Choice>
  </mc:AlternateContent>
  <bookViews>
    <workbookView xWindow="0" yWindow="0" windowWidth="24240" windowHeight="11520" firstSheet="1" activeTab="2"/>
  </bookViews>
  <sheets>
    <sheet name="ErrorNote" sheetId="4" state="hidden" r:id="rId1"/>
    <sheet name="COVID EXPENSES" sheetId="1" r:id="rId2"/>
    <sheet name="Murrey's American G-9 Reg." sheetId="5" r:id="rId3"/>
    <sheet name="Murrey's Rate Sheet" sheetId="7" r:id="rId4"/>
    <sheet name="Proforma Hours Input " sheetId="10" r:id="rId5"/>
    <sheet name="Customers" sheetId="11" r:id="rId6"/>
    <sheet name="ControlPanel" sheetId="3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D" localSheetId="5">#REF!</definedName>
    <definedName name="\D" localSheetId="3">#REF!</definedName>
    <definedName name="\D">#REF!</definedName>
    <definedName name="\S" localSheetId="5">#REF!</definedName>
    <definedName name="\S" localSheetId="3">#REF!</definedName>
    <definedName name="\S">#REF!</definedName>
    <definedName name="\Y" localSheetId="5">#REF!</definedName>
    <definedName name="\Y" localSheetId="3">#REF!</definedName>
    <definedName name="\Y">'[1]Buckley Cust'!#REF!</definedName>
    <definedName name="_____________CYA1">[2]Hidden!$N$11</definedName>
    <definedName name="_____________CYA10">[2]Hidden!$E$11</definedName>
    <definedName name="_____________CYA11">[2]Hidden!$P$11</definedName>
    <definedName name="_____________CYA2">[2]Hidden!$M$11</definedName>
    <definedName name="_____________CYA3">[2]Hidden!$L$11</definedName>
    <definedName name="_____________CYA4">[2]Hidden!$K$11</definedName>
    <definedName name="_____________CYA5">[2]Hidden!$J$11</definedName>
    <definedName name="_____________CYA6">[2]Hidden!$I$11</definedName>
    <definedName name="_____________CYA7">[2]Hidden!$H$11</definedName>
    <definedName name="_____________CYA8">[2]Hidden!$G$11</definedName>
    <definedName name="_____________CYA9">[2]Hidden!$F$11</definedName>
    <definedName name="_____________LYA12">[2]Hidden!$O$11</definedName>
    <definedName name="____________CYA1">[2]Hidden!$N$11</definedName>
    <definedName name="____________CYA10">[2]Hidden!$E$11</definedName>
    <definedName name="____________CYA11">[2]Hidden!$P$11</definedName>
    <definedName name="____________CYA2">[2]Hidden!$M$11</definedName>
    <definedName name="____________CYA3">[2]Hidden!$L$11</definedName>
    <definedName name="____________CYA4">[2]Hidden!$K$11</definedName>
    <definedName name="____________CYA5">[2]Hidden!$J$11</definedName>
    <definedName name="____________CYA6">[2]Hidden!$I$11</definedName>
    <definedName name="____________CYA7">[2]Hidden!$H$11</definedName>
    <definedName name="____________CYA8">[2]Hidden!$G$11</definedName>
    <definedName name="____________CYA9">[2]Hidden!$F$11</definedName>
    <definedName name="____________LYA12">[2]Hidden!$O$11</definedName>
    <definedName name="___________CYA1">[2]Hidden!$N$11</definedName>
    <definedName name="___________CYA10">[2]Hidden!$E$11</definedName>
    <definedName name="___________CYA11">[2]Hidden!$P$11</definedName>
    <definedName name="___________CYA2">[2]Hidden!$M$11</definedName>
    <definedName name="___________CYA3">[2]Hidden!$L$11</definedName>
    <definedName name="___________CYA4">[2]Hidden!$K$11</definedName>
    <definedName name="___________CYA5">[2]Hidden!$J$11</definedName>
    <definedName name="___________CYA6">[2]Hidden!$I$11</definedName>
    <definedName name="___________CYA7">[2]Hidden!$H$11</definedName>
    <definedName name="___________CYA8">[2]Hidden!$G$11</definedName>
    <definedName name="___________CYA9">[2]Hidden!$F$11</definedName>
    <definedName name="___________LYA12">[2]Hidden!$O$11</definedName>
    <definedName name="__________CYA1">[2]Hidden!$N$11</definedName>
    <definedName name="__________CYA10">[2]Hidden!$E$11</definedName>
    <definedName name="__________CYA11">[2]Hidden!$P$11</definedName>
    <definedName name="__________CYA2">[2]Hidden!$M$11</definedName>
    <definedName name="__________CYA3">[2]Hidden!$L$11</definedName>
    <definedName name="__________CYA4">[2]Hidden!$K$11</definedName>
    <definedName name="__________CYA5">[2]Hidden!$J$11</definedName>
    <definedName name="__________CYA6">[2]Hidden!$I$11</definedName>
    <definedName name="__________CYA7">[2]Hidden!$H$11</definedName>
    <definedName name="__________CYA8">[2]Hidden!$G$11</definedName>
    <definedName name="__________CYA9">[2]Hidden!$F$11</definedName>
    <definedName name="__________LYA12">[2]Hidden!$O$11</definedName>
    <definedName name="_________CYA1">[2]Hidden!$N$11</definedName>
    <definedName name="_________CYA10">[2]Hidden!$E$11</definedName>
    <definedName name="_________CYA11">[2]Hidden!$P$11</definedName>
    <definedName name="_________CYA2">[2]Hidden!$M$11</definedName>
    <definedName name="_________CYA3">[2]Hidden!$L$11</definedName>
    <definedName name="_________CYA4">[2]Hidden!$K$11</definedName>
    <definedName name="_________CYA5">[2]Hidden!$J$11</definedName>
    <definedName name="_________CYA6">[2]Hidden!$I$11</definedName>
    <definedName name="_________CYA7">[2]Hidden!$H$11</definedName>
    <definedName name="_________CYA8">[2]Hidden!$G$11</definedName>
    <definedName name="_________CYA9">[2]Hidden!$F$11</definedName>
    <definedName name="_________LYA12">[2]Hidden!$O$11</definedName>
    <definedName name="________CYA1">[2]Hidden!$N$11</definedName>
    <definedName name="________CYA10">[2]Hidden!$E$11</definedName>
    <definedName name="________CYA11">[2]Hidden!$P$11</definedName>
    <definedName name="________CYA2">[2]Hidden!$M$11</definedName>
    <definedName name="________CYA3">[2]Hidden!$L$11</definedName>
    <definedName name="________CYA4">[2]Hidden!$K$11</definedName>
    <definedName name="________CYA5">[2]Hidden!$J$11</definedName>
    <definedName name="________CYA6">[2]Hidden!$I$11</definedName>
    <definedName name="________CYA7">[2]Hidden!$H$11</definedName>
    <definedName name="________CYA8">[2]Hidden!$G$11</definedName>
    <definedName name="________CYA9">[2]Hidden!$F$11</definedName>
    <definedName name="________LYA12">[2]Hidden!$O$11</definedName>
    <definedName name="_______CYA1">[2]Hidden!$N$11</definedName>
    <definedName name="_______CYA10">[2]Hidden!$E$11</definedName>
    <definedName name="_______CYA11">[2]Hidden!$P$11</definedName>
    <definedName name="_______CYA2">[2]Hidden!$M$11</definedName>
    <definedName name="_______CYA3">[2]Hidden!$L$11</definedName>
    <definedName name="_______CYA4">[2]Hidden!$K$11</definedName>
    <definedName name="_______CYA5">[2]Hidden!$J$11</definedName>
    <definedName name="_______CYA6">[2]Hidden!$I$11</definedName>
    <definedName name="_______CYA7">[2]Hidden!$H$11</definedName>
    <definedName name="_______CYA8">[2]Hidden!$G$11</definedName>
    <definedName name="_______CYA9">[2]Hidden!$F$11</definedName>
    <definedName name="_______LYA12">[2]Hidden!$O$11</definedName>
    <definedName name="______CYA1">[2]Hidden!$N$11</definedName>
    <definedName name="______CYA10">[2]Hidden!$E$11</definedName>
    <definedName name="______CYA11">[2]Hidden!$P$11</definedName>
    <definedName name="______CYA2">[2]Hidden!$M$11</definedName>
    <definedName name="______CYA3">[2]Hidden!$L$11</definedName>
    <definedName name="______CYA4">[2]Hidden!$K$11</definedName>
    <definedName name="______CYA5">[2]Hidden!$J$11</definedName>
    <definedName name="______CYA6">[2]Hidden!$I$11</definedName>
    <definedName name="______CYA7">[2]Hidden!$H$11</definedName>
    <definedName name="______CYA8">[2]Hidden!$G$11</definedName>
    <definedName name="______CYA9">[2]Hidden!$F$11</definedName>
    <definedName name="______LYA12">[2]Hidden!$O$11</definedName>
    <definedName name="_____CYA1">[2]Hidden!$N$11</definedName>
    <definedName name="_____CYA10">[2]Hidden!$E$11</definedName>
    <definedName name="_____CYA11">[2]Hidden!$P$11</definedName>
    <definedName name="_____CYA2">[2]Hidden!$M$11</definedName>
    <definedName name="_____CYA3">[2]Hidden!$L$11</definedName>
    <definedName name="_____CYA4">[2]Hidden!$K$11</definedName>
    <definedName name="_____CYA5">[2]Hidden!$J$11</definedName>
    <definedName name="_____CYA6">[2]Hidden!$I$11</definedName>
    <definedName name="_____CYA7">[2]Hidden!$H$11</definedName>
    <definedName name="_____CYA8">[2]Hidden!$G$11</definedName>
    <definedName name="_____CYA9">[2]Hidden!$F$11</definedName>
    <definedName name="_____LYA12">[2]Hidden!$O$11</definedName>
    <definedName name="____CYA1">[2]Hidden!$N$11</definedName>
    <definedName name="____CYA10">[2]Hidden!$E$11</definedName>
    <definedName name="____CYA11">[2]Hidden!$P$11</definedName>
    <definedName name="____CYA2">[2]Hidden!$M$11</definedName>
    <definedName name="____CYA3">[2]Hidden!$L$11</definedName>
    <definedName name="____CYA4">[2]Hidden!$K$11</definedName>
    <definedName name="____CYA5">[2]Hidden!$J$11</definedName>
    <definedName name="____CYA6">[2]Hidden!$I$11</definedName>
    <definedName name="____CYA7">[2]Hidden!$H$11</definedName>
    <definedName name="____CYA8">[2]Hidden!$G$11</definedName>
    <definedName name="____CYA9">[2]Hidden!$F$11</definedName>
    <definedName name="____LYA12">[2]Hidden!$O$11</definedName>
    <definedName name="___CYA1">[2]Hidden!$N$11</definedName>
    <definedName name="___CYA10">[2]Hidden!$E$11</definedName>
    <definedName name="___CYA11">[2]Hidden!$P$11</definedName>
    <definedName name="___CYA2">[2]Hidden!$M$11</definedName>
    <definedName name="___CYA3">[2]Hidden!$L$11</definedName>
    <definedName name="___CYA4">[2]Hidden!$K$11</definedName>
    <definedName name="___CYA5">[2]Hidden!$J$11</definedName>
    <definedName name="___CYA6">[2]Hidden!$I$11</definedName>
    <definedName name="___CYA7">[2]Hidden!$H$11</definedName>
    <definedName name="___CYA8">[2]Hidden!$G$11</definedName>
    <definedName name="___CYA9">[2]Hidden!$F$11</definedName>
    <definedName name="___LYA12">[2]Hidden!$O$11</definedName>
    <definedName name="__CYA1">[2]Hidden!$N$11</definedName>
    <definedName name="__CYA10">[2]Hidden!$E$11</definedName>
    <definedName name="__CYA11">[2]Hidden!$P$11</definedName>
    <definedName name="__CYA2">[2]Hidden!$M$11</definedName>
    <definedName name="__CYA3">[2]Hidden!$L$11</definedName>
    <definedName name="__CYA4">[2]Hidden!$K$11</definedName>
    <definedName name="__CYA5">[2]Hidden!$J$11</definedName>
    <definedName name="__CYA6">[2]Hidden!$I$11</definedName>
    <definedName name="__CYA7">[2]Hidden!$H$11</definedName>
    <definedName name="__CYA8">[2]Hidden!$G$11</definedName>
    <definedName name="__CYA9">[2]Hidden!$F$11</definedName>
    <definedName name="__LYA12">[2]Hidden!$O$11</definedName>
    <definedName name="_123Graph_g" hidden="1">'[3]#REF'!$F$9:$F$83</definedName>
    <definedName name="_132" hidden="1">[4]XXXXXX!$B$10:$B$10</definedName>
    <definedName name="_132Graph_h" localSheetId="3" hidden="1">#REF!</definedName>
    <definedName name="_132Graph_h" hidden="1">#REF!</definedName>
    <definedName name="_ACT1" localSheetId="3">[5]Hidden!#REF!</definedName>
    <definedName name="_ACT1">[5]Hidden!#REF!</definedName>
    <definedName name="_ACT2" localSheetId="3">[5]Hidden!#REF!</definedName>
    <definedName name="_ACT2">[5]Hidden!#REF!</definedName>
    <definedName name="_ACT3" localSheetId="3">[5]Hidden!#REF!</definedName>
    <definedName name="_ACT3">[5]Hidden!#REF!</definedName>
    <definedName name="_COS1" localSheetId="3">#REF!</definedName>
    <definedName name="_COS1">#REF!</definedName>
    <definedName name="_COS2" localSheetId="3">#REF!</definedName>
    <definedName name="_COS2">#REF!</definedName>
    <definedName name="_CYA1">[2]Hidden!$N$11</definedName>
    <definedName name="_CYA10">[2]Hidden!$E$11</definedName>
    <definedName name="_CYA11">[2]Hidden!$P$11</definedName>
    <definedName name="_CYA2">[2]Hidden!$M$11</definedName>
    <definedName name="_CYA3">[2]Hidden!$L$11</definedName>
    <definedName name="_CYA4">[2]Hidden!$K$11</definedName>
    <definedName name="_CYA5">[2]Hidden!$J$11</definedName>
    <definedName name="_CYA6">[2]Hidden!$I$11</definedName>
    <definedName name="_CYA7">[2]Hidden!$H$11</definedName>
    <definedName name="_CYA8">[2]Hidden!$G$11</definedName>
    <definedName name="_CYA9">[2]Hidden!$F$11</definedName>
    <definedName name="_Fill" localSheetId="3" hidden="1">#REF!</definedName>
    <definedName name="_Fill" hidden="1">#REF!</definedName>
    <definedName name="_xlnm._FilterDatabase" localSheetId="1" hidden="1">'COVID EXPENSES'!$B$19:$AQ$20</definedName>
    <definedName name="_Key1" localSheetId="3" hidden="1">#REF!</definedName>
    <definedName name="_Key1" hidden="1">#REF!</definedName>
    <definedName name="_Key2" hidden="1">'[3]#REF'!$D$12</definedName>
    <definedName name="_key5" hidden="1">[4]XXXXXX!$H$10</definedName>
    <definedName name="_LYA12">[2]Hidden!$O$11</definedName>
    <definedName name="_max" localSheetId="3" hidden="1">#REF!</definedName>
    <definedName name="_max" hidden="1">#REF!</definedName>
    <definedName name="_Mon" localSheetId="3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3" hidden="1">#REF!</definedName>
    <definedName name="_Sort" hidden="1">#REF!</definedName>
    <definedName name="_Sort1" hidden="1">'[3]#REF'!$A$10:$Z$281</definedName>
    <definedName name="_sort3" hidden="1">[4]XXXXXX!$G$10:$J$11</definedName>
    <definedName name="a" localSheetId="3">#REF!</definedName>
    <definedName name="a">#REF!</definedName>
    <definedName name="Accounts" localSheetId="3">#REF!</definedName>
    <definedName name="Accounts">'COVID EXPENSES'!$M$13</definedName>
    <definedName name="ACCT" localSheetId="3">[5]Hidden!#REF!</definedName>
    <definedName name="ACCT">[5]Hidden!#REF!</definedName>
    <definedName name="ACCT.ConsolSum">[2]Hidden!$Q$11</definedName>
    <definedName name="ACT_CUR" localSheetId="3">[5]Hidden!#REF!</definedName>
    <definedName name="ACT_CUR">[5]Hidden!#REF!</definedName>
    <definedName name="ACT_YTD" localSheetId="3">[5]Hidden!#REF!</definedName>
    <definedName name="ACT_YTD">[5]Hidden!#REF!</definedName>
    <definedName name="afsdfsdfsd" localSheetId="3">#REF!</definedName>
    <definedName name="afsdfsdfsd">#REF!</definedName>
    <definedName name="AmountCount" localSheetId="3">#REF!</definedName>
    <definedName name="AmountCount" localSheetId="4">#REF!</definedName>
    <definedName name="AmountCount">#REF!</definedName>
    <definedName name="AmountCount1" localSheetId="3">#REF!</definedName>
    <definedName name="AmountCount1" localSheetId="4">#REF!</definedName>
    <definedName name="AmountCount1">#REF!</definedName>
    <definedName name="AmountFrom" localSheetId="3">#REF!</definedName>
    <definedName name="AmountFrom">'COVID EXPENSES'!$P$13</definedName>
    <definedName name="AmountTo" localSheetId="3">#REF!</definedName>
    <definedName name="AmountTo">'COVID EXPENSES'!$P$14</definedName>
    <definedName name="AmountTotal" localSheetId="3">#REF!</definedName>
    <definedName name="AmountTotal" localSheetId="4">#REF!</definedName>
    <definedName name="AmountTotal">#REF!</definedName>
    <definedName name="AmountTotal1" localSheetId="3">#REF!</definedName>
    <definedName name="AmountTotal1" localSheetId="4">#REF!</definedName>
    <definedName name="AmountTotal1">#REF!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 localSheetId="3">#REF!</definedName>
    <definedName name="BREMAIR_COST_of_SERVICE_STUDY">#REF!</definedName>
    <definedName name="BUD_CUR" localSheetId="3">[5]Hidden!#REF!</definedName>
    <definedName name="BUD_CUR">[5]Hidden!#REF!</definedName>
    <definedName name="BUD_YTD" localSheetId="3">[5]Hidden!#REF!</definedName>
    <definedName name="BUD_YTD">[5]Hidden!#REF!</definedName>
    <definedName name="CalRecyTons">'[7]Recycl Tons, Commodity Value'!$L$23</definedName>
    <definedName name="CheckTotals" localSheetId="3">#REF!</definedName>
    <definedName name="CheckTotals">#REF!</definedName>
    <definedName name="colgroup">[2]Orientation!$G$6</definedName>
    <definedName name="colsegment">[2]Orientation!$F$6</definedName>
    <definedName name="CommlStaffPriceOut" localSheetId="3">'[8]Price Out-Reg EASTSIDE-Resi'!#REF!</definedName>
    <definedName name="CommlStaffPriceOut">'[8]Price Out-Reg EASTSIDE-Resi'!#REF!</definedName>
    <definedName name="ControlNumber">[9]Summary!$J$8</definedName>
    <definedName name="CRCTable" localSheetId="3">#REF!</definedName>
    <definedName name="CRCTable">#REF!</definedName>
    <definedName name="CRCTableOLD" localSheetId="3">#REF!</definedName>
    <definedName name="CRCTableOLD">#REF!</definedName>
    <definedName name="CriteriaType">[10]ControlPanel!$Z$2:$Z$5</definedName>
    <definedName name="CurrentMonth" localSheetId="5">#REF!</definedName>
    <definedName name="CurrentMonth" localSheetId="3">#REF!</definedName>
    <definedName name="CurrentMonth">#REF!</definedName>
    <definedName name="Cutomers" localSheetId="3">#REF!</definedName>
    <definedName name="Cutomers">#REF!</definedName>
    <definedName name="_xlnm.Database" localSheetId="3">#REF!</definedName>
    <definedName name="_xlnm.Database">#REF!</definedName>
    <definedName name="Database1" localSheetId="3">#REF!</definedName>
    <definedName name="Database1">#REF!</definedName>
    <definedName name="DateFrom" localSheetId="5">#REF!</definedName>
    <definedName name="DateFrom" localSheetId="2">#REF!</definedName>
    <definedName name="DateFrom" localSheetId="3">#REF!</definedName>
    <definedName name="DateFrom">'COVID EXPENSES'!$I$12</definedName>
    <definedName name="DateTo" localSheetId="5">#REF!</definedName>
    <definedName name="DateTo" localSheetId="2">#REF!</definedName>
    <definedName name="DateTo" localSheetId="3">#REF!</definedName>
    <definedName name="DateTo">'COVID EXPENSES'!$I$13</definedName>
    <definedName name="DBxStaffPriceOut" localSheetId="3">'[8]Price Out-Reg EASTSIDE-Resi'!#REF!</definedName>
    <definedName name="DBxStaffPriceOut">'[8]Price Out-Reg EASTSIDE-Resi'!#REF!</definedName>
    <definedName name="DeleteCMReconBook">[9]Summary!$J$10</definedName>
    <definedName name="DEPT" localSheetId="3">[5]Hidden!#REF!</definedName>
    <definedName name="DEPT">[5]Hidden!#REF!</definedName>
    <definedName name="Dist">[11]Data!$E$3</definedName>
    <definedName name="District" localSheetId="3">'[12]Vashon BS'!#REF!</definedName>
    <definedName name="District">[9]Summary!$J$17</definedName>
    <definedName name="DistrictName">[9]Summary!$M$8</definedName>
    <definedName name="DistrictNum" localSheetId="3">#REF!</definedName>
    <definedName name="DistrictNum">#REF!</definedName>
    <definedName name="Districts" localSheetId="3">#REF!</definedName>
    <definedName name="Districts">'COVID EXPENSES'!$M$12</definedName>
    <definedName name="DistStaffSignOffStatus">[9]Summary!$N$19</definedName>
    <definedName name="DivisionSignOffReq">[9]Summary!$M$11</definedName>
    <definedName name="DivSignOffStatus">[9]Summary!$N$18</definedName>
    <definedName name="dOG" localSheetId="3">#REF!</definedName>
    <definedName name="dOG">#REF!</definedName>
    <definedName name="drlFilter">[2]Settings!$D$27</definedName>
    <definedName name="End" localSheetId="3">#REF!</definedName>
    <definedName name="End">#REF!</definedName>
    <definedName name="EntrieShownLimit" localSheetId="5">#REF!</definedName>
    <definedName name="EntrieShownLimit" localSheetId="2">#REF!</definedName>
    <definedName name="EntrieShownLimit" localSheetId="3">#REF!</definedName>
    <definedName name="EntrieShownLimit">'COVID EXPENSES'!$D$6</definedName>
    <definedName name="ExcludeIC" localSheetId="3">'[12]Vashon BS'!#REF!</definedName>
    <definedName name="ExcludeIC">'[12]Vashon BS'!#REF!</definedName>
    <definedName name="ExpensesPF1" localSheetId="3">#REF!</definedName>
    <definedName name="ExpensesPF1">#REF!</definedName>
    <definedName name="EXT" localSheetId="3">#REF!</definedName>
    <definedName name="EXT">#REF!</definedName>
    <definedName name="FBTable" localSheetId="3">#REF!</definedName>
    <definedName name="FBTable">#REF!</definedName>
    <definedName name="FBTableOld" localSheetId="3">#REF!</definedName>
    <definedName name="FBTableOld">#REF!</definedName>
    <definedName name="filter">[2]Settings!$B$14:$H$25</definedName>
    <definedName name="FromMonth" localSheetId="3">#REF!</definedName>
    <definedName name="FromMonth">#REF!</definedName>
    <definedName name="FundsApprPend" localSheetId="3">[11]Data!#REF!</definedName>
    <definedName name="FundsApprPend">[11]Data!#REF!</definedName>
    <definedName name="FundsBudUnbud" localSheetId="3">[11]Data!#REF!</definedName>
    <definedName name="FundsBudUnbud">[11]Data!#REF!</definedName>
    <definedName name="GLMappingStart" localSheetId="3">#REF!</definedName>
    <definedName name="GLMappingStart" localSheetId="4">#REF!</definedName>
    <definedName name="GLMappingStart">#REF!</definedName>
    <definedName name="GLMappingStart1" localSheetId="3">#REF!</definedName>
    <definedName name="GLMappingStart1" localSheetId="4">#REF!</definedName>
    <definedName name="GLMappingStart1">#REF!</definedName>
    <definedName name="HeaderReturnMessage">[9]Summary!$Q$16</definedName>
    <definedName name="Import_Range" localSheetId="3">[11]Data!#REF!</definedName>
    <definedName name="Import_Range">[11]Data!#REF!</definedName>
    <definedName name="IncomeStmnt" localSheetId="3">#REF!</definedName>
    <definedName name="IncomeStmnt">#REF!</definedName>
    <definedName name="INPUT" localSheetId="3">#REF!</definedName>
    <definedName name="INPUT">#REF!</definedName>
    <definedName name="INPUTc" localSheetId="3">#REF!</definedName>
    <definedName name="INPUTc">#REF!</definedName>
    <definedName name="Insurance" localSheetId="3">#REF!</definedName>
    <definedName name="Insurance">#REF!</definedName>
    <definedName name="Interject_LastPulledValues_BalanceRange" localSheetId="5">#REF!</definedName>
    <definedName name="Interject_LastPulledValues_BalanceRange" localSheetId="3">#REF!</definedName>
    <definedName name="Interject_LastPulledValues_BalanceRange">#REF!</definedName>
    <definedName name="Interject_LastPulledValues_DescriptionRange" localSheetId="5">#REF!</definedName>
    <definedName name="Interject_LastPulledValues_DescriptionRange" localSheetId="3">#REF!</definedName>
    <definedName name="Interject_LastPulledValues_DescriptionRange">#REF!</definedName>
    <definedName name="Interject_LastPulledValues_LastChangeGUID" localSheetId="5">#REF!</definedName>
    <definedName name="Interject_LastPulledValues_LastChangeGUID" localSheetId="3">#REF!</definedName>
    <definedName name="Interject_LastPulledValues_LastChangeGUID">#REF!</definedName>
    <definedName name="Interject_LastPulledValues_PreviousLastChangeGUID" localSheetId="5">#REF!</definedName>
    <definedName name="Interject_LastPulledValues_PreviousLastChangeGUID" localSheetId="3">#REF!</definedName>
    <definedName name="Interject_LastPulledValues_PreviousLastChangeGUID">#REF!</definedName>
    <definedName name="Invoice_Start" localSheetId="3">[11]Invoice_Drill!#REF!</definedName>
    <definedName name="Invoice_Start">[11]Invoice_Drill!#REF!</definedName>
    <definedName name="JEDetail" localSheetId="3">#REF!</definedName>
    <definedName name="JEDetail" localSheetId="4">#REF!</definedName>
    <definedName name="JEDetail">#REF!</definedName>
    <definedName name="JEDetail1" localSheetId="3">#REF!</definedName>
    <definedName name="JEDetail1" localSheetId="4">#REF!</definedName>
    <definedName name="JEDetail1">#REF!</definedName>
    <definedName name="JEType" localSheetId="3">#REF!</definedName>
    <definedName name="JEType" localSheetId="4">#REF!</definedName>
    <definedName name="JEType">#REF!</definedName>
    <definedName name="JEType1" localSheetId="3">#REF!</definedName>
    <definedName name="JEType1" localSheetId="4">#REF!</definedName>
    <definedName name="JEType1">#REF!</definedName>
    <definedName name="LastExecutedFor">[9]Summary!$Q$17</definedName>
    <definedName name="LastSavedOn">[9]Summary!$Q$19</definedName>
    <definedName name="lblBillAreaStatus" localSheetId="3">#REF!</definedName>
    <definedName name="lblBillAreaStatus" localSheetId="4">#REF!</definedName>
    <definedName name="lblBillAreaStatus">#REF!</definedName>
    <definedName name="lblBillCycleStatus" localSheetId="3">#REF!</definedName>
    <definedName name="lblBillCycleStatus" localSheetId="4">#REF!</definedName>
    <definedName name="lblBillCycleStatus">#REF!</definedName>
    <definedName name="lblCategoryStatus" localSheetId="3">#REF!</definedName>
    <definedName name="lblCategoryStatus" localSheetId="4">#REF!</definedName>
    <definedName name="lblCategoryStatus">#REF!</definedName>
    <definedName name="lblCompanyStatus" localSheetId="3">#REF!</definedName>
    <definedName name="lblCompanyStatus" localSheetId="4">#REF!</definedName>
    <definedName name="lblCompanyStatus">#REF!</definedName>
    <definedName name="lblDatabaseStatus" localSheetId="3">#REF!</definedName>
    <definedName name="lblDatabaseStatus" localSheetId="4">#REF!</definedName>
    <definedName name="lblDatabaseStatus">#REF!</definedName>
    <definedName name="lblPullStatus" localSheetId="3">#REF!</definedName>
    <definedName name="lblPullStatus" localSheetId="4">#REF!</definedName>
    <definedName name="lblPullStatus">#REF!</definedName>
    <definedName name="lllllllllllllllllllll" localSheetId="3">#REF!</definedName>
    <definedName name="lllllllllllllllllllll">#REF!</definedName>
    <definedName name="LOB">[13]DropDownRanges!$B$4:$B$37</definedName>
    <definedName name="MainDataEnd" localSheetId="3">#REF!</definedName>
    <definedName name="MainDataEnd" localSheetId="4">#REF!</definedName>
    <definedName name="MainDataEnd">#REF!</definedName>
    <definedName name="MainDataStart" localSheetId="3">#REF!</definedName>
    <definedName name="MainDataStart" localSheetId="4">#REF!</definedName>
    <definedName name="MainDataStart">#REF!</definedName>
    <definedName name="MapKeyStart" localSheetId="3">#REF!</definedName>
    <definedName name="MapKeyStart" localSheetId="4">#REF!</definedName>
    <definedName name="MapKeyStart">#REF!</definedName>
    <definedName name="master_def" localSheetId="3">#REF!</definedName>
    <definedName name="master_def">#REF!</definedName>
    <definedName name="MATRIX" localSheetId="3">#REF!</definedName>
    <definedName name="MATRIX">#REF!</definedName>
    <definedName name="MemoAttachment" localSheetId="3">#REF!</definedName>
    <definedName name="MemoAttachment">#REF!</definedName>
    <definedName name="MetaSet">[2]Orientation!$C$22</definedName>
    <definedName name="MFStaffPriceOut" localSheetId="3">'[8]Price Out-Reg EASTSIDE-Resi'!#REF!</definedName>
    <definedName name="MFStaffPriceOut">'[8]Price Out-Reg EASTSIDE-Resi'!#REF!</definedName>
    <definedName name="MILTON" localSheetId="5">#REF!</definedName>
    <definedName name="MILTON" localSheetId="3">#REF!</definedName>
    <definedName name="MILTON">#REF!</definedName>
    <definedName name="MissingAccountList">[9]Summary!$Q$18</definedName>
    <definedName name="MonthList">'[11]Lookup Tables'!$A$1:$A$13</definedName>
    <definedName name="NewAccountCheck">[9]Summary!$L$18</definedName>
    <definedName name="NewLob">[13]DropDownRanges!$B$4:$B$37</definedName>
    <definedName name="NewOnlyOrg">#N/A</definedName>
    <definedName name="NewSource">[13]DropDownRanges!$D$4:$D$7</definedName>
    <definedName name="nn" localSheetId="3">#REF!</definedName>
    <definedName name="nn">#REF!</definedName>
    <definedName name="NOTES" localSheetId="3">#REF!</definedName>
    <definedName name="NOTES">#REF!</definedName>
    <definedName name="NR" localSheetId="3">#REF!</definedName>
    <definedName name="NR">#REF!</definedName>
    <definedName name="OfficerSalary">#N/A</definedName>
    <definedName name="OffsetAcctBil" localSheetId="5">[14]JEexport!$L$10</definedName>
    <definedName name="OffsetAcctBil" localSheetId="3">[15]JEexport!$L$10</definedName>
    <definedName name="OffsetAcctBil" localSheetId="4">[15]JEexport!$L$10</definedName>
    <definedName name="OffsetAcctBil">[16]JEexport!$L$10</definedName>
    <definedName name="OffsetAcctPmt" localSheetId="5">[14]JEexport!$L$9</definedName>
    <definedName name="OffsetAcctPmt" localSheetId="3">[15]JEexport!$L$9</definedName>
    <definedName name="OffsetAcctPmt" localSheetId="4">[15]JEexport!$L$9</definedName>
    <definedName name="OffsetAcctPmt">[16]JEexport!$L$9</definedName>
    <definedName name="Org11_13">#N/A</definedName>
    <definedName name="Org7_10">#N/A</definedName>
    <definedName name="p" localSheetId="3">#REF!</definedName>
    <definedName name="p">#REF!</definedName>
    <definedName name="PAGE_1" localSheetId="3">#REF!</definedName>
    <definedName name="PAGE_1">#REF!</definedName>
    <definedName name="Page16" localSheetId="3">#REF!</definedName>
    <definedName name="Page16">#REF!</definedName>
    <definedName name="Page17" localSheetId="3">#REF!</definedName>
    <definedName name="Page17">#REF!</definedName>
    <definedName name="Page18" localSheetId="3">#REF!</definedName>
    <definedName name="Page18">#REF!</definedName>
    <definedName name="Page7a" localSheetId="3">#REF!</definedName>
    <definedName name="Page7a">#REF!</definedName>
    <definedName name="pBatchID" localSheetId="3">#REF!</definedName>
    <definedName name="pBatchID" localSheetId="4">#REF!</definedName>
    <definedName name="pBatchID">#REF!</definedName>
    <definedName name="pBillArea" localSheetId="3">#REF!</definedName>
    <definedName name="pBillArea" localSheetId="4">#REF!</definedName>
    <definedName name="pBillArea">#REF!</definedName>
    <definedName name="pBillCycle" localSheetId="3">#REF!</definedName>
    <definedName name="pBillCycle" localSheetId="4">#REF!</definedName>
    <definedName name="pBillCycle">#REF!</definedName>
    <definedName name="pCategory" localSheetId="3">#REF!</definedName>
    <definedName name="pCategory" localSheetId="4">#REF!</definedName>
    <definedName name="pCategory">#REF!</definedName>
    <definedName name="pCompany" localSheetId="3">#REF!</definedName>
    <definedName name="pCompany" localSheetId="4">#REF!</definedName>
    <definedName name="pCompany">#REF!</definedName>
    <definedName name="pCustomerNumber" localSheetId="3">#REF!</definedName>
    <definedName name="pCustomerNumber" localSheetId="4">#REF!</definedName>
    <definedName name="pCustomerNumber">#REF!</definedName>
    <definedName name="pDatabase" localSheetId="3">#REF!</definedName>
    <definedName name="pDatabase" localSheetId="4">#REF!</definedName>
    <definedName name="pDatabase">#REF!</definedName>
    <definedName name="pEndPostDate" localSheetId="3">#REF!</definedName>
    <definedName name="pEndPostDate" localSheetId="4">#REF!</definedName>
    <definedName name="pEndPostDate">#REF!</definedName>
    <definedName name="Period" localSheetId="3">#REF!</definedName>
    <definedName name="Period">#REF!</definedName>
    <definedName name="pMonth" localSheetId="3">#REF!</definedName>
    <definedName name="pMonth" localSheetId="4">#REF!</definedName>
    <definedName name="pMonth">#REF!</definedName>
    <definedName name="pOnlyShowLastTranx" localSheetId="3">#REF!</definedName>
    <definedName name="pOnlyShowLastTranx" localSheetId="4">#REF!</definedName>
    <definedName name="pOnlyShowLastTranx">#REF!</definedName>
    <definedName name="Posting" localSheetId="3">#REF!</definedName>
    <definedName name="Posting">'COVID EXPENSES'!$P$15</definedName>
    <definedName name="primtbl">[2]Orientation!$C$23</definedName>
    <definedName name="_xlnm.Print_Area" localSheetId="1">'COVID EXPENSES'!$A$9:$O$548,'COVID EXPENSES'!$B$551:$G$888</definedName>
    <definedName name="_xlnm.Print_Area" localSheetId="5">Customers!$A$1:$S$27,Customers!$H$31:$Q$48</definedName>
    <definedName name="_xlnm.Print_Area" localSheetId="2">'Murrey''s American G-9 Reg.'!$A$1:$BJ$486</definedName>
    <definedName name="_xlnm.Print_Area" localSheetId="3">'Murrey''s Rate Sheet'!$A$1:$D$627</definedName>
    <definedName name="_xlnm.Print_Area" localSheetId="4">'Proforma Hours Input '!$A$1:$AL$81</definedName>
    <definedName name="_xlnm.Print_Area">#REF!</definedName>
    <definedName name="Print_Area_MI" localSheetId="3">#REF!</definedName>
    <definedName name="Print_Area_MI">#REF!</definedName>
    <definedName name="Print_Area_MIc" localSheetId="3">#REF!</definedName>
    <definedName name="Print_Area_MIc">#REF!</definedName>
    <definedName name="Print_Area1" localSheetId="3">#REF!</definedName>
    <definedName name="Print_Area1">#REF!</definedName>
    <definedName name="Print_Area2" localSheetId="3">#REF!</definedName>
    <definedName name="Print_Area2">#REF!</definedName>
    <definedName name="Print_Area3" localSheetId="3">#REF!</definedName>
    <definedName name="Print_Area3">#REF!</definedName>
    <definedName name="Print_Area5" localSheetId="3">#REF!</definedName>
    <definedName name="Print_Area5">#REF!</definedName>
    <definedName name="_xlnm.Print_Titles" localSheetId="1">'COVID EXPENSES'!$B:$B,'COVID EXPENSES'!$9:$20</definedName>
    <definedName name="_xlnm.Print_Titles" localSheetId="2">'Murrey''s American G-9 Reg.'!$A:$B,'Murrey''s American G-9 Reg.'!$1:$6</definedName>
    <definedName name="_xlnm.Print_Titles" localSheetId="3">'Murrey''s Rate Sheet'!$1:$8</definedName>
    <definedName name="Print1" localSheetId="3">#REF!</definedName>
    <definedName name="Print1">#REF!</definedName>
    <definedName name="Print2" localSheetId="3">#REF!</definedName>
    <definedName name="Print2">#REF!</definedName>
    <definedName name="Print5" localSheetId="3">#REF!</definedName>
    <definedName name="Print5">#REF!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Server" localSheetId="3">#REF!</definedName>
    <definedName name="pServer" localSheetId="4">#REF!</definedName>
    <definedName name="pServer">#REF!</definedName>
    <definedName name="pServiceCode" localSheetId="3">#REF!</definedName>
    <definedName name="pServiceCode" localSheetId="4">#REF!</definedName>
    <definedName name="pServiceCode">#REF!</definedName>
    <definedName name="pShowAllUnposted" localSheetId="3">#REF!</definedName>
    <definedName name="pShowAllUnposted" localSheetId="4">#REF!</definedName>
    <definedName name="pShowAllUnposted">#REF!</definedName>
    <definedName name="pShowCustomerDetail" localSheetId="3">#REF!</definedName>
    <definedName name="pShowCustomerDetail" localSheetId="4">#REF!</definedName>
    <definedName name="pShowCustomerDetail">#REF!</definedName>
    <definedName name="pSortOption" localSheetId="3">#REF!</definedName>
    <definedName name="pSortOption" localSheetId="4">#REF!</definedName>
    <definedName name="pSortOption">#REF!</definedName>
    <definedName name="pStartPostDate" localSheetId="3">#REF!</definedName>
    <definedName name="pStartPostDate" localSheetId="4">#REF!</definedName>
    <definedName name="pStartPostDate">#REF!</definedName>
    <definedName name="pTransType" localSheetId="3">#REF!</definedName>
    <definedName name="pTransType" localSheetId="4">#REF!</definedName>
    <definedName name="pTransType">#REF!</definedName>
    <definedName name="RCW_81.04.080">#N/A</definedName>
    <definedName name="ReconMonth">[9]Summary!$J$18</definedName>
    <definedName name="RecyDisposal">#N/A</definedName>
    <definedName name="Reg_Cust_Billed_Percent">'[17]Consolidated IS 2009 2010'!$AK$20</definedName>
    <definedName name="Reg_Cust_Percent">'[17]Consolidated IS 2009 2010'!$AC$20</definedName>
    <definedName name="Reg_Drive_Percent">'[17]Consolidated IS 2009 2010'!$AC$40</definedName>
    <definedName name="Reg_Haul_Rev_Percent">'[17]Consolidated IS 2009 2010'!$Z$18</definedName>
    <definedName name="Reg_Lab_Percent">'[17]Consolidated IS 2009 2010'!$AC$39</definedName>
    <definedName name="Reg_Steel_Cont_Percent">'[17]Consolidated IS 2009 2010'!$AE$120</definedName>
    <definedName name="RegionSignOffReq">[9]Summary!$M$10</definedName>
    <definedName name="RegionSignOffStatus">[9]Summary!$N$17</definedName>
    <definedName name="RegulatedIS">'[17]2009 IS'!$A$12:$Q$655</definedName>
    <definedName name="RelatedSalary">#N/A</definedName>
    <definedName name="report_type">[2]Orientation!$C$24</definedName>
    <definedName name="ReportNames">[18]ControlPanel!$S$2:$S$16</definedName>
    <definedName name="ReportVersion">[2]Settings!$D$5</definedName>
    <definedName name="ReslStaffPriceOut" localSheetId="3">'[8]Price Out-Reg EASTSIDE-Resi'!#REF!</definedName>
    <definedName name="ReslStaffPriceOut">'[8]Price Out-Reg EASTSIDE-Resi'!#REF!</definedName>
    <definedName name="RetainedEarnings" localSheetId="3">#REF!</definedName>
    <definedName name="RetainedEarnings">#REF!</definedName>
    <definedName name="RevCust" localSheetId="3">[19]RevenuesCust!#REF!</definedName>
    <definedName name="RevCust">[19]RevenuesCust!#REF!</definedName>
    <definedName name="RevCustomer" localSheetId="3">#REF!</definedName>
    <definedName name="RevCustomer">#REF!</definedName>
    <definedName name="RevenuePF1" localSheetId="3">#REF!</definedName>
    <definedName name="RevenuePF1">#REF!</definedName>
    <definedName name="rngCreateLog">[2]Delivery!$B$12</definedName>
    <definedName name="rngFilePassword">[2]Delivery!$B$6</definedName>
    <definedName name="rngSourceTab">[2]Delivery!$E$8</definedName>
    <definedName name="rowgroup">[2]Orientation!$C$17</definedName>
    <definedName name="rowsegment">[2]Orientation!$B$17</definedName>
    <definedName name="seffasfasdfsd" localSheetId="3">[5]Hidden!#REF!</definedName>
    <definedName name="seffasfasdfsd">[5]Hidden!#REF!</definedName>
    <definedName name="Sequential_Group">[2]Settings!$J$6</definedName>
    <definedName name="Sequential_Segment">[2]Settings!$I$6</definedName>
    <definedName name="Sequential_sort">[2]Settings!$I$10:$J$11</definedName>
    <definedName name="slope">'[20]LG Nonpublic 2018 V5.0'!$X$58</definedName>
    <definedName name="sortcol" localSheetId="3">#REF!</definedName>
    <definedName name="sortcol">#REF!</definedName>
    <definedName name="Source">[13]DropDownRanges!$D$4:$D$7</definedName>
    <definedName name="sSRCDate" localSheetId="3">'[21]Feb''12 FAR Data'!#REF!</definedName>
    <definedName name="sSRCDate">'[21]Feb''12 FAR Data'!#REF!</definedName>
    <definedName name="SubSystems" localSheetId="3">#REF!</definedName>
    <definedName name="SubSystems">'COVID EXPENSES'!$M$15</definedName>
    <definedName name="Supplemental_filter">[2]Settings!$C$31</definedName>
    <definedName name="SWDisposal">#N/A</definedName>
    <definedName name="System">[22]BS_Close!$V$8</definedName>
    <definedName name="Systems" localSheetId="3">#REF!</definedName>
    <definedName name="Systems">'COVID EXPENSES'!$M$14</definedName>
    <definedName name="TemplateEnd" localSheetId="5">#REF!</definedName>
    <definedName name="TemplateEnd" localSheetId="3">#REF!</definedName>
    <definedName name="TemplateEnd" localSheetId="4">#REF!</definedName>
    <definedName name="TemplateEnd">#REF!</definedName>
    <definedName name="TemplateStart" localSheetId="5">#REF!</definedName>
    <definedName name="TemplateStart" localSheetId="3">#REF!</definedName>
    <definedName name="TemplateStart" localSheetId="4">#REF!</definedName>
    <definedName name="TemplateStart">#REF!</definedName>
    <definedName name="TheTable" localSheetId="3">#REF!</definedName>
    <definedName name="TheTable">#REF!</definedName>
    <definedName name="TheTableOLD" localSheetId="3">#REF!</definedName>
    <definedName name="TheTableOLD">#REF!</definedName>
    <definedName name="timeseries">[2]Orientation!$B$6:$C$13</definedName>
    <definedName name="ToMonth" localSheetId="3">#REF!</definedName>
    <definedName name="ToMonth">#REF!</definedName>
    <definedName name="Tons" localSheetId="3">#REF!</definedName>
    <definedName name="Tons">#REF!</definedName>
    <definedName name="Total_Comm">'[7]Tariff Rate Sheet'!$L$214</definedName>
    <definedName name="Total_DB">'[7]Tariff Rate Sheet'!$L$278</definedName>
    <definedName name="Total_Resi">'[7]Tariff Rate Sheet'!$L$107</definedName>
    <definedName name="Transactions" localSheetId="3">#REF!</definedName>
    <definedName name="Transactions">#REF!</definedName>
    <definedName name="UnregulatedIS">'[17]2010 IS'!$A$12:$Q$654</definedName>
    <definedName name="UserTestMode">[9]Summary!$J$9</definedName>
    <definedName name="VarianceStatus">[9]Summary!$L$17</definedName>
    <definedName name="VarianceTolerance">[9]Summary!$U$21</definedName>
    <definedName name="VendorCode" localSheetId="3">#REF!</definedName>
    <definedName name="VendorCode">'COVID EXPENSES'!$P$12</definedName>
    <definedName name="Version" localSheetId="3">[11]Data!#REF!</definedName>
    <definedName name="Version">[11]Data!#REF!</definedName>
    <definedName name="wrn.PrintReview.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3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3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3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3">#REF!</definedName>
    <definedName name="WTable">#REF!</definedName>
    <definedName name="WTableOld" localSheetId="3">#REF!</definedName>
    <definedName name="WTableOld">#REF!</definedName>
    <definedName name="ww" localSheetId="3">#REF!</definedName>
    <definedName name="ww">#REF!</definedName>
    <definedName name="xperiod">[2]Orientation!$G$15</definedName>
    <definedName name="xtabin" localSheetId="3">[5]Hidden!#REF!</definedName>
    <definedName name="xtabin">[5]Hidden!#REF!</definedName>
    <definedName name="xx" localSheetId="3">#REF!</definedName>
    <definedName name="xx">#REF!</definedName>
    <definedName name="xxx" localSheetId="3">#REF!</definedName>
    <definedName name="xxx">#REF!</definedName>
    <definedName name="xxxx" localSheetId="3">#REF!</definedName>
    <definedName name="xxxx">#REF!</definedName>
    <definedName name="y_inter1">'[20]LG Nonpublic 2018 V5.0'!$W$55</definedName>
    <definedName name="y_inter2">'[20]LG Nonpublic 2018 V5.0'!$W$56</definedName>
    <definedName name="y_inter3">'[20]LG Nonpublic 2018 V5.0'!$Y$55</definedName>
    <definedName name="y_inter4">'[20]LG Nonpublic 2018 V5.0'!$Y$56</definedName>
    <definedName name="YearMonth" localSheetId="3">'[12]Vashon BS'!#REF!</definedName>
    <definedName name="YearMonth">'[12]Vashon BS'!#REF!</definedName>
    <definedName name="YWMedWasteDisp">#N/A</definedName>
    <definedName name="yy" localSheetId="3">#REF!</definedName>
    <definedName name="yy">#REF!</definedName>
  </definedNames>
  <calcPr calcId="162913"/>
  <pivotCaches>
    <pivotCache cacheId="0" r:id="rId30"/>
  </pivotCaches>
</workbook>
</file>

<file path=xl/calcChain.xml><?xml version="1.0" encoding="utf-8"?>
<calcChain xmlns="http://schemas.openxmlformats.org/spreadsheetml/2006/main">
  <c r="BF4" i="5" l="1"/>
  <c r="BF2" i="5"/>
  <c r="D852" i="1"/>
  <c r="F866" i="1"/>
  <c r="F868" i="1" l="1"/>
  <c r="BK428" i="5" l="1"/>
  <c r="BF458" i="5" l="1"/>
  <c r="D851" i="1" l="1"/>
  <c r="K44" i="11"/>
  <c r="J44" i="11"/>
  <c r="J43" i="11"/>
  <c r="L39" i="11"/>
  <c r="L38" i="11"/>
  <c r="K38" i="11"/>
  <c r="L37" i="11"/>
  <c r="K37" i="11"/>
  <c r="J37" i="11"/>
  <c r="K36" i="11"/>
  <c r="J36" i="11"/>
  <c r="J35" i="11"/>
  <c r="Q25" i="11"/>
  <c r="F25" i="11"/>
  <c r="S25" i="11" s="1"/>
  <c r="Q23" i="11"/>
  <c r="P38" i="11" s="1"/>
  <c r="J38" i="11"/>
  <c r="M38" i="11" s="1"/>
  <c r="P21" i="11"/>
  <c r="M21" i="11"/>
  <c r="J21" i="11"/>
  <c r="I21" i="11"/>
  <c r="H21" i="11"/>
  <c r="D21" i="11"/>
  <c r="Q20" i="11"/>
  <c r="P44" i="11" s="1"/>
  <c r="F20" i="11"/>
  <c r="S20" i="11" s="1"/>
  <c r="L44" i="11"/>
  <c r="O21" i="11"/>
  <c r="N21" i="11"/>
  <c r="L21" i="11"/>
  <c r="K21" i="11"/>
  <c r="Q19" i="11"/>
  <c r="E21" i="11"/>
  <c r="K43" i="11"/>
  <c r="C21" i="11"/>
  <c r="O16" i="11"/>
  <c r="N16" i="11"/>
  <c r="M16" i="11"/>
  <c r="E16" i="11"/>
  <c r="D16" i="11"/>
  <c r="Q15" i="11"/>
  <c r="P42" i="11" s="1"/>
  <c r="L42" i="11"/>
  <c r="K42" i="11"/>
  <c r="J42" i="11"/>
  <c r="M42" i="11" s="1"/>
  <c r="Q14" i="11"/>
  <c r="P41" i="11" s="1"/>
  <c r="L41" i="11"/>
  <c r="K41" i="11"/>
  <c r="J41" i="11"/>
  <c r="M41" i="11" s="1"/>
  <c r="P16" i="11"/>
  <c r="Q13" i="11"/>
  <c r="P40" i="11" s="1"/>
  <c r="L40" i="11"/>
  <c r="K40" i="11"/>
  <c r="J40" i="11"/>
  <c r="M40" i="11" s="1"/>
  <c r="L16" i="11"/>
  <c r="K16" i="11"/>
  <c r="J16" i="11"/>
  <c r="Q12" i="11"/>
  <c r="K39" i="11"/>
  <c r="C16" i="11"/>
  <c r="P9" i="11"/>
  <c r="P27" i="11" s="1"/>
  <c r="I9" i="11"/>
  <c r="H9" i="11"/>
  <c r="Q8" i="11"/>
  <c r="P37" i="11" s="1"/>
  <c r="F8" i="11"/>
  <c r="S8" i="11" s="1"/>
  <c r="K9" i="11"/>
  <c r="K27" i="11" s="1"/>
  <c r="I7" i="11"/>
  <c r="Q7" i="11"/>
  <c r="P36" i="11" s="1"/>
  <c r="F7" i="11"/>
  <c r="O9" i="11"/>
  <c r="O27" i="11" s="1"/>
  <c r="N9" i="11"/>
  <c r="N27" i="11" s="1"/>
  <c r="M9" i="11"/>
  <c r="M27" i="11" s="1"/>
  <c r="L9" i="11"/>
  <c r="L27" i="11" s="1"/>
  <c r="J7" i="11"/>
  <c r="J9" i="11" s="1"/>
  <c r="Q6" i="11"/>
  <c r="E9" i="11"/>
  <c r="E27" i="11" s="1"/>
  <c r="D9" i="11"/>
  <c r="D27" i="11" s="1"/>
  <c r="C9" i="11"/>
  <c r="P43" i="11" l="1"/>
  <c r="Q21" i="11"/>
  <c r="P35" i="11"/>
  <c r="Q9" i="11"/>
  <c r="Q27" i="11" s="1"/>
  <c r="Q16" i="11"/>
  <c r="P39" i="11"/>
  <c r="C27" i="11"/>
  <c r="J27" i="11"/>
  <c r="I27" i="11"/>
  <c r="M44" i="11"/>
  <c r="S7" i="11"/>
  <c r="J45" i="11"/>
  <c r="F19" i="11"/>
  <c r="F15" i="11"/>
  <c r="S15" i="11" s="1"/>
  <c r="H16" i="11"/>
  <c r="H27" i="11" s="1"/>
  <c r="K35" i="11"/>
  <c r="K45" i="11" s="1"/>
  <c r="L36" i="11"/>
  <c r="M36" i="11" s="1"/>
  <c r="M37" i="11"/>
  <c r="F6" i="11"/>
  <c r="F14" i="11"/>
  <c r="S14" i="11" s="1"/>
  <c r="I16" i="11"/>
  <c r="L35" i="11"/>
  <c r="L43" i="11"/>
  <c r="M43" i="11" s="1"/>
  <c r="F13" i="11"/>
  <c r="S13" i="11" s="1"/>
  <c r="F12" i="11"/>
  <c r="F23" i="11"/>
  <c r="S23" i="11" s="1"/>
  <c r="J39" i="11"/>
  <c r="M39" i="11" s="1"/>
  <c r="P45" i="11" l="1"/>
  <c r="M35" i="11"/>
  <c r="F21" i="11"/>
  <c r="S19" i="11"/>
  <c r="S21" i="11" s="1"/>
  <c r="F16" i="11"/>
  <c r="S12" i="11"/>
  <c r="S16" i="11" s="1"/>
  <c r="F9" i="11"/>
  <c r="S6" i="11"/>
  <c r="S9" i="11" s="1"/>
  <c r="Q39" i="11"/>
  <c r="Q43" i="11"/>
  <c r="L45" i="11"/>
  <c r="M45" i="11" l="1"/>
  <c r="F27" i="11"/>
  <c r="S27" i="11" s="1"/>
  <c r="Q45" i="11"/>
  <c r="Q42" i="11"/>
  <c r="Q37" i="11"/>
  <c r="Q40" i="11"/>
  <c r="Q44" i="11"/>
  <c r="Q41" i="11"/>
  <c r="Q38" i="11"/>
  <c r="Q36" i="11"/>
  <c r="Q35" i="11"/>
  <c r="J48" i="11"/>
  <c r="N45" i="11" l="1"/>
  <c r="N40" i="11"/>
  <c r="N41" i="11"/>
  <c r="N38" i="11"/>
  <c r="N42" i="11"/>
  <c r="N43" i="11"/>
  <c r="N36" i="11"/>
  <c r="N37" i="11"/>
  <c r="N39" i="11"/>
  <c r="N44" i="11"/>
  <c r="N35" i="11"/>
  <c r="E851" i="1" l="1"/>
  <c r="T81" i="10"/>
  <c r="P81" i="10"/>
  <c r="U79" i="10"/>
  <c r="U77" i="10"/>
  <c r="U75" i="10"/>
  <c r="U73" i="10"/>
  <c r="U71" i="10"/>
  <c r="U69" i="10"/>
  <c r="U67" i="10"/>
  <c r="U65" i="10"/>
  <c r="U63" i="10"/>
  <c r="U61" i="10"/>
  <c r="U59" i="10"/>
  <c r="U57" i="10"/>
  <c r="U55" i="10"/>
  <c r="U53" i="10"/>
  <c r="U51" i="10"/>
  <c r="O81" i="10"/>
  <c r="U49" i="10"/>
  <c r="S81" i="10"/>
  <c r="R81" i="10"/>
  <c r="Q81" i="10"/>
  <c r="U47" i="10"/>
  <c r="Y41" i="10"/>
  <c r="T41" i="10"/>
  <c r="R41" i="10"/>
  <c r="P41" i="10"/>
  <c r="O41" i="10"/>
  <c r="G41" i="10"/>
  <c r="AE39" i="10"/>
  <c r="U39" i="10"/>
  <c r="J39" i="10"/>
  <c r="AE37" i="10"/>
  <c r="U37" i="10"/>
  <c r="J37" i="10"/>
  <c r="AC35" i="10"/>
  <c r="AE35" i="10" s="1"/>
  <c r="U35" i="10"/>
  <c r="J35" i="10"/>
  <c r="AD33" i="10"/>
  <c r="AB33" i="10"/>
  <c r="N33" i="10"/>
  <c r="AB31" i="10"/>
  <c r="Z31" i="10"/>
  <c r="AD31" i="10"/>
  <c r="S33" i="10"/>
  <c r="AE29" i="10"/>
  <c r="U29" i="10"/>
  <c r="J29" i="10"/>
  <c r="AE27" i="10"/>
  <c r="U27" i="10"/>
  <c r="AE25" i="10"/>
  <c r="U25" i="10"/>
  <c r="Q11" i="10"/>
  <c r="U23" i="10"/>
  <c r="AD23" i="10"/>
  <c r="Z23" i="10"/>
  <c r="X23" i="10"/>
  <c r="U21" i="10"/>
  <c r="AD21" i="10"/>
  <c r="AC21" i="10"/>
  <c r="AB21" i="10"/>
  <c r="AA21" i="10"/>
  <c r="Z21" i="10"/>
  <c r="X21" i="10"/>
  <c r="AA19" i="10"/>
  <c r="U19" i="10"/>
  <c r="AB19" i="10"/>
  <c r="Z19" i="10"/>
  <c r="AA17" i="10"/>
  <c r="U17" i="10"/>
  <c r="Z17" i="10"/>
  <c r="X17" i="10"/>
  <c r="AB15" i="10"/>
  <c r="AD15" i="10"/>
  <c r="Z15" i="10"/>
  <c r="Z13" i="10"/>
  <c r="AD13" i="10"/>
  <c r="AC13" i="10"/>
  <c r="AB13" i="10"/>
  <c r="N13" i="10"/>
  <c r="AD11" i="10"/>
  <c r="AC11" i="10"/>
  <c r="AB11" i="10"/>
  <c r="N11" i="10"/>
  <c r="U9" i="10"/>
  <c r="AC9" i="10"/>
  <c r="AB9" i="10"/>
  <c r="AA9" i="10"/>
  <c r="Z9" i="10"/>
  <c r="X9" i="10"/>
  <c r="Z7" i="10"/>
  <c r="X7" i="10"/>
  <c r="AD7" i="10"/>
  <c r="N7" i="10"/>
  <c r="U81" i="10" l="1"/>
  <c r="X15" i="10"/>
  <c r="AE15" i="10" s="1"/>
  <c r="X31" i="10"/>
  <c r="AE31" i="10" s="1"/>
  <c r="X33" i="10"/>
  <c r="AC33" i="10"/>
  <c r="AA11" i="10"/>
  <c r="J23" i="10"/>
  <c r="U7" i="10"/>
  <c r="E41" i="10"/>
  <c r="U11" i="10"/>
  <c r="X11" i="10"/>
  <c r="S31" i="10"/>
  <c r="S41" i="10" s="1"/>
  <c r="S42" i="10" s="1"/>
  <c r="AA23" i="10"/>
  <c r="AE23" i="10" s="1"/>
  <c r="Z33" i="10"/>
  <c r="Z41" i="10" s="1"/>
  <c r="AC31" i="10"/>
  <c r="J31" i="10"/>
  <c r="AK13" i="10" s="1"/>
  <c r="H41" i="10"/>
  <c r="J9" i="10"/>
  <c r="Q13" i="10"/>
  <c r="AA13" i="10" s="1"/>
  <c r="Q7" i="10"/>
  <c r="J25" i="10"/>
  <c r="D41" i="10"/>
  <c r="F41" i="10"/>
  <c r="AA7" i="10"/>
  <c r="AE21" i="10"/>
  <c r="AI11" i="10"/>
  <c r="X13" i="10"/>
  <c r="X41" i="10" s="1"/>
  <c r="AC15" i="10"/>
  <c r="J15" i="10"/>
  <c r="AD9" i="10"/>
  <c r="AE9" i="10" s="1"/>
  <c r="AC17" i="10"/>
  <c r="AC19" i="10"/>
  <c r="AC23" i="10"/>
  <c r="I41" i="10"/>
  <c r="N81" i="10"/>
  <c r="AB17" i="10"/>
  <c r="AE17" i="10" s="1"/>
  <c r="AB7" i="10"/>
  <c r="AB41" i="10" s="1"/>
  <c r="Z11" i="10"/>
  <c r="N15" i="10"/>
  <c r="AD17" i="10"/>
  <c r="AD19" i="10"/>
  <c r="N31" i="10"/>
  <c r="J7" i="10"/>
  <c r="AC7" i="10"/>
  <c r="AJ9" i="10"/>
  <c r="J13" i="10"/>
  <c r="Q15" i="10"/>
  <c r="AA15" i="10" s="1"/>
  <c r="J17" i="10"/>
  <c r="J19" i="10"/>
  <c r="J21" i="10"/>
  <c r="Q31" i="10"/>
  <c r="AA31" i="10" s="1"/>
  <c r="C41" i="10"/>
  <c r="AB23" i="10"/>
  <c r="J33" i="10"/>
  <c r="J11" i="10"/>
  <c r="AK11" i="10" s="1"/>
  <c r="X19" i="10"/>
  <c r="AE19" i="10" s="1"/>
  <c r="J27" i="10"/>
  <c r="Q33" i="10"/>
  <c r="U33" i="10" s="1"/>
  <c r="AL11" i="10" l="1"/>
  <c r="AI13" i="10"/>
  <c r="AJ13" i="10"/>
  <c r="U31" i="10"/>
  <c r="U41" i="10"/>
  <c r="U42" i="10" s="1"/>
  <c r="AA33" i="10"/>
  <c r="AD41" i="10"/>
  <c r="U15" i="10"/>
  <c r="AK9" i="10"/>
  <c r="AI9" i="10"/>
  <c r="AL9" i="10" s="1"/>
  <c r="U13" i="10"/>
  <c r="Z42" i="10"/>
  <c r="AE13" i="10"/>
  <c r="C42" i="10"/>
  <c r="X42" i="10"/>
  <c r="I42" i="10"/>
  <c r="AI7" i="10"/>
  <c r="AK7" i="10"/>
  <c r="J41" i="10"/>
  <c r="AJ7" i="10"/>
  <c r="AA41" i="10"/>
  <c r="AA42" i="10" s="1"/>
  <c r="AE11" i="10"/>
  <c r="AE33" i="10"/>
  <c r="AE7" i="10"/>
  <c r="AE41" i="10" s="1"/>
  <c r="Z43" i="10" s="1"/>
  <c r="D42" i="10"/>
  <c r="AC41" i="10"/>
  <c r="AC43" i="10" s="1"/>
  <c r="AJ11" i="10"/>
  <c r="Q41" i="10"/>
  <c r="Q42" i="10" s="1"/>
  <c r="H42" i="10"/>
  <c r="N41" i="10"/>
  <c r="N42" i="10" s="1"/>
  <c r="AC42" i="10" l="1"/>
  <c r="X43" i="10"/>
  <c r="AL7" i="10"/>
  <c r="AL13" i="10"/>
  <c r="AA43" i="10"/>
  <c r="AH41" i="10"/>
  <c r="D49" i="10"/>
  <c r="Y49" i="10" s="1"/>
  <c r="I71" i="10"/>
  <c r="AD71" i="10" s="1"/>
  <c r="I55" i="10"/>
  <c r="AD55" i="10" s="1"/>
  <c r="E51" i="10"/>
  <c r="Z51" i="10" s="1"/>
  <c r="I47" i="10"/>
  <c r="F51" i="10"/>
  <c r="AA51" i="10" s="1"/>
  <c r="I79" i="10"/>
  <c r="AD79" i="10" s="1"/>
  <c r="E67" i="10"/>
  <c r="Z67" i="10" s="1"/>
  <c r="AE42" i="10"/>
  <c r="D73" i="10"/>
  <c r="Y73" i="10" s="1"/>
  <c r="G69" i="10"/>
  <c r="AB69" i="10" s="1"/>
  <c r="G61" i="10"/>
  <c r="AB61" i="10" s="1"/>
  <c r="C57" i="10"/>
  <c r="C49" i="10"/>
  <c r="J42" i="10"/>
  <c r="E75" i="10"/>
  <c r="Z75" i="10" s="1"/>
  <c r="I63" i="10"/>
  <c r="AD63" i="10" s="1"/>
  <c r="H69" i="10"/>
  <c r="AC69" i="10" s="1"/>
  <c r="H61" i="10"/>
  <c r="AC61" i="10" s="1"/>
  <c r="H53" i="10"/>
  <c r="AC53" i="10" s="1"/>
  <c r="G77" i="10"/>
  <c r="AB77" i="10" s="1"/>
  <c r="G53" i="10"/>
  <c r="AB53" i="10" s="1"/>
  <c r="H77" i="10"/>
  <c r="AC77" i="10" s="1"/>
  <c r="F75" i="10"/>
  <c r="AA75" i="10" s="1"/>
  <c r="F67" i="10"/>
  <c r="AA67" i="10" s="1"/>
  <c r="D65" i="10"/>
  <c r="Y65" i="10" s="1"/>
  <c r="D57" i="10"/>
  <c r="Y57" i="10" s="1"/>
  <c r="C73" i="10"/>
  <c r="C65" i="10"/>
  <c r="E59" i="10"/>
  <c r="Z59" i="10" s="1"/>
  <c r="H57" i="10"/>
  <c r="AC57" i="10" s="1"/>
  <c r="F53" i="10"/>
  <c r="AA53" i="10" s="1"/>
  <c r="I75" i="10"/>
  <c r="AD75" i="10" s="1"/>
  <c r="I51" i="10"/>
  <c r="AD51" i="10" s="1"/>
  <c r="F57" i="10"/>
  <c r="AA57" i="10" s="1"/>
  <c r="D75" i="10"/>
  <c r="Y75" i="10" s="1"/>
  <c r="F47" i="10"/>
  <c r="G55" i="10"/>
  <c r="AB55" i="10" s="1"/>
  <c r="F59" i="10"/>
  <c r="AA59" i="10" s="1"/>
  <c r="E57" i="10"/>
  <c r="Z57" i="10" s="1"/>
  <c r="F73" i="10"/>
  <c r="AA73" i="10" s="1"/>
  <c r="E63" i="10"/>
  <c r="Z63" i="10" s="1"/>
  <c r="G79" i="10"/>
  <c r="AB79" i="10" s="1"/>
  <c r="E61" i="10"/>
  <c r="Z61" i="10" s="1"/>
  <c r="G42" i="10"/>
  <c r="G63" i="10"/>
  <c r="AB63" i="10" s="1"/>
  <c r="C63" i="10"/>
  <c r="C69" i="10"/>
  <c r="C71" i="10"/>
  <c r="G49" i="10"/>
  <c r="AB49" i="10" s="1"/>
  <c r="D67" i="10"/>
  <c r="Y67" i="10" s="1"/>
  <c r="F71" i="10"/>
  <c r="AA71" i="10" s="1"/>
  <c r="C59" i="10"/>
  <c r="G51" i="10"/>
  <c r="AB51" i="10" s="1"/>
  <c r="C53" i="10"/>
  <c r="I53" i="10"/>
  <c r="AD53" i="10" s="1"/>
  <c r="F77" i="10"/>
  <c r="AA77" i="10" s="1"/>
  <c r="G67" i="10"/>
  <c r="AB67" i="10" s="1"/>
  <c r="E53" i="10"/>
  <c r="Z53" i="10" s="1"/>
  <c r="D61" i="10"/>
  <c r="Y61" i="10" s="1"/>
  <c r="I77" i="10"/>
  <c r="AD77" i="10" s="1"/>
  <c r="H49" i="10"/>
  <c r="AC49" i="10" s="1"/>
  <c r="H47" i="10"/>
  <c r="D63" i="10"/>
  <c r="Y63" i="10" s="1"/>
  <c r="G59" i="10"/>
  <c r="AB59" i="10" s="1"/>
  <c r="G73" i="10"/>
  <c r="AB73" i="10" s="1"/>
  <c r="C51" i="10"/>
  <c r="F55" i="10"/>
  <c r="AA55" i="10" s="1"/>
  <c r="F65" i="10"/>
  <c r="AA65" i="10" s="1"/>
  <c r="C77" i="10"/>
  <c r="D59" i="10"/>
  <c r="Y59" i="10" s="1"/>
  <c r="F61" i="10"/>
  <c r="AA61" i="10" s="1"/>
  <c r="I65" i="10"/>
  <c r="AD65" i="10" s="1"/>
  <c r="C47" i="10"/>
  <c r="H63" i="10"/>
  <c r="AC63" i="10" s="1"/>
  <c r="D53" i="10"/>
  <c r="Y53" i="10" s="1"/>
  <c r="F63" i="10"/>
  <c r="AA63" i="10" s="1"/>
  <c r="H67" i="10"/>
  <c r="AC67" i="10" s="1"/>
  <c r="I67" i="10"/>
  <c r="AD67" i="10" s="1"/>
  <c r="E49" i="10"/>
  <c r="Z49" i="10" s="1"/>
  <c r="G47" i="10"/>
  <c r="H51" i="10"/>
  <c r="AC51" i="10" s="1"/>
  <c r="D77" i="10"/>
  <c r="Y77" i="10" s="1"/>
  <c r="F79" i="10"/>
  <c r="AA79" i="10" s="1"/>
  <c r="G57" i="10"/>
  <c r="AB57" i="10" s="1"/>
  <c r="C61" i="10"/>
  <c r="D55" i="10"/>
  <c r="Y55" i="10" s="1"/>
  <c r="D79" i="10"/>
  <c r="Y79" i="10" s="1"/>
  <c r="E79" i="10"/>
  <c r="Z79" i="10" s="1"/>
  <c r="I59" i="10"/>
  <c r="AD59" i="10" s="1"/>
  <c r="I69" i="10"/>
  <c r="AD69" i="10" s="1"/>
  <c r="I61" i="10"/>
  <c r="AD61" i="10" s="1"/>
  <c r="G71" i="10"/>
  <c r="AB71" i="10" s="1"/>
  <c r="I73" i="10"/>
  <c r="AD73" i="10" s="1"/>
  <c r="H75" i="10"/>
  <c r="AC75" i="10" s="1"/>
  <c r="H71" i="10"/>
  <c r="AC71" i="10" s="1"/>
  <c r="E71" i="10"/>
  <c r="Z71" i="10" s="1"/>
  <c r="G75" i="10"/>
  <c r="AB75" i="10" s="1"/>
  <c r="F69" i="10"/>
  <c r="AA69" i="10" s="1"/>
  <c r="E55" i="10"/>
  <c r="Z55" i="10" s="1"/>
  <c r="C79" i="10"/>
  <c r="D71" i="10"/>
  <c r="Y71" i="10" s="1"/>
  <c r="E73" i="10"/>
  <c r="Z73" i="10" s="1"/>
  <c r="E65" i="10"/>
  <c r="Z65" i="10" s="1"/>
  <c r="C67" i="10"/>
  <c r="H59" i="10"/>
  <c r="AC59" i="10" s="1"/>
  <c r="E47" i="10"/>
  <c r="H55" i="10"/>
  <c r="AC55" i="10" s="1"/>
  <c r="H79" i="10"/>
  <c r="AC79" i="10" s="1"/>
  <c r="H73" i="10"/>
  <c r="AC73" i="10" s="1"/>
  <c r="E69" i="10"/>
  <c r="Z69" i="10" s="1"/>
  <c r="H65" i="10"/>
  <c r="AC65" i="10" s="1"/>
  <c r="I49" i="10"/>
  <c r="AD49" i="10" s="1"/>
  <c r="F49" i="10"/>
  <c r="AA49" i="10" s="1"/>
  <c r="C75" i="10"/>
  <c r="D51" i="10"/>
  <c r="Y51" i="10" s="1"/>
  <c r="D47" i="10"/>
  <c r="E77" i="10"/>
  <c r="Z77" i="10" s="1"/>
  <c r="C55" i="10"/>
  <c r="G65" i="10"/>
  <c r="AB65" i="10" s="1"/>
  <c r="I57" i="10"/>
  <c r="AD57" i="10" s="1"/>
  <c r="D69" i="10"/>
  <c r="Y69" i="10" s="1"/>
  <c r="E42" i="10"/>
  <c r="F42" i="10"/>
  <c r="J69" i="10" l="1"/>
  <c r="AE69" i="10" s="1"/>
  <c r="X69" i="10"/>
  <c r="J67" i="10"/>
  <c r="AE67" i="10" s="1"/>
  <c r="X67" i="10"/>
  <c r="J55" i="10"/>
  <c r="AE55" i="10" s="1"/>
  <c r="X55" i="10"/>
  <c r="X71" i="10"/>
  <c r="J71" i="10"/>
  <c r="AE71" i="10" s="1"/>
  <c r="J53" i="10"/>
  <c r="AE53" i="10" s="1"/>
  <c r="X53" i="10"/>
  <c r="J59" i="10"/>
  <c r="AE59" i="10" s="1"/>
  <c r="X59" i="10"/>
  <c r="F81" i="10"/>
  <c r="AA47" i="10"/>
  <c r="AA81" i="10" s="1"/>
  <c r="J65" i="10"/>
  <c r="AE65" i="10" s="1"/>
  <c r="X65" i="10"/>
  <c r="J57" i="10"/>
  <c r="AE57" i="10" s="1"/>
  <c r="X57" i="10"/>
  <c r="I81" i="10"/>
  <c r="AD47" i="10"/>
  <c r="AD81" i="10" s="1"/>
  <c r="H81" i="10"/>
  <c r="AC47" i="10"/>
  <c r="AC81" i="10" s="1"/>
  <c r="J63" i="10"/>
  <c r="AE63" i="10" s="1"/>
  <c r="X63" i="10"/>
  <c r="J77" i="10"/>
  <c r="AE77" i="10" s="1"/>
  <c r="X77" i="10"/>
  <c r="J49" i="10"/>
  <c r="AE49" i="10" s="1"/>
  <c r="X49" i="10"/>
  <c r="J73" i="10"/>
  <c r="AE73" i="10" s="1"/>
  <c r="X73" i="10"/>
  <c r="J47" i="10"/>
  <c r="C81" i="10"/>
  <c r="X47" i="10"/>
  <c r="G81" i="10"/>
  <c r="AB47" i="10"/>
  <c r="AB81" i="10" s="1"/>
  <c r="J61" i="10"/>
  <c r="AE61" i="10" s="1"/>
  <c r="X61" i="10"/>
  <c r="D81" i="10"/>
  <c r="Y47" i="10"/>
  <c r="Y81" i="10" s="1"/>
  <c r="J79" i="10"/>
  <c r="AE79" i="10" s="1"/>
  <c r="X79" i="10"/>
  <c r="J75" i="10"/>
  <c r="AE75" i="10" s="1"/>
  <c r="X75" i="10"/>
  <c r="E81" i="10"/>
  <c r="Z47" i="10"/>
  <c r="Z81" i="10" s="1"/>
  <c r="J51" i="10"/>
  <c r="AE51" i="10" s="1"/>
  <c r="X51" i="10"/>
  <c r="J81" i="10" l="1"/>
  <c r="AE47" i="10"/>
  <c r="AE81" i="10" s="1"/>
  <c r="X81" i="10"/>
  <c r="F852" i="1" l="1"/>
  <c r="F853" i="1" s="1"/>
  <c r="D853" i="1" l="1"/>
  <c r="F851" i="1"/>
  <c r="D104" i="7" l="1"/>
  <c r="D307" i="7" l="1"/>
  <c r="D306" i="7"/>
  <c r="D305" i="7"/>
  <c r="D10" i="7"/>
  <c r="BD430" i="5" l="1"/>
  <c r="BD429" i="5"/>
  <c r="BD428" i="5"/>
  <c r="BD427" i="5"/>
  <c r="BD426" i="5"/>
  <c r="BD425" i="5"/>
  <c r="BE430" i="5"/>
  <c r="BF430" i="5" s="1"/>
  <c r="BG430" i="5" s="1"/>
  <c r="BF3" i="5"/>
  <c r="BB421" i="5"/>
  <c r="BB435" i="5"/>
  <c r="BB432" i="5"/>
  <c r="BB430" i="5"/>
  <c r="BB429" i="5"/>
  <c r="BB428" i="5"/>
  <c r="BB427" i="5"/>
  <c r="BB426" i="5"/>
  <c r="BB425" i="5"/>
  <c r="BB409" i="5"/>
  <c r="BB245" i="5"/>
  <c r="BB303" i="5"/>
  <c r="BB315" i="5"/>
  <c r="BB110" i="5"/>
  <c r="BB107" i="5"/>
  <c r="BB407" i="5"/>
  <c r="BB406" i="5"/>
  <c r="BB405" i="5"/>
  <c r="BB404" i="5"/>
  <c r="BB403" i="5"/>
  <c r="BB402" i="5"/>
  <c r="BB401" i="5"/>
  <c r="BB400" i="5"/>
  <c r="BB399" i="5"/>
  <c r="BB398" i="5"/>
  <c r="BB397" i="5"/>
  <c r="BB396" i="5"/>
  <c r="BB395" i="5"/>
  <c r="BB394" i="5"/>
  <c r="BB393" i="5"/>
  <c r="BB392" i="5"/>
  <c r="BB391" i="5"/>
  <c r="BB390" i="5"/>
  <c r="BB389" i="5"/>
  <c r="BB388" i="5"/>
  <c r="BB387" i="5"/>
  <c r="BB386" i="5"/>
  <c r="BB385" i="5"/>
  <c r="BB384" i="5"/>
  <c r="BB383" i="5"/>
  <c r="BB382" i="5"/>
  <c r="BB381" i="5"/>
  <c r="BB380" i="5"/>
  <c r="BB379" i="5"/>
  <c r="BB378" i="5"/>
  <c r="BB377" i="5"/>
  <c r="BB376" i="5"/>
  <c r="BB375" i="5"/>
  <c r="BB374" i="5"/>
  <c r="BB373" i="5"/>
  <c r="BB372" i="5"/>
  <c r="BB371" i="5"/>
  <c r="BB370" i="5"/>
  <c r="BB369" i="5"/>
  <c r="BB368" i="5"/>
  <c r="BB367" i="5"/>
  <c r="BB366" i="5"/>
  <c r="BB365" i="5"/>
  <c r="BB364" i="5"/>
  <c r="BB363" i="5"/>
  <c r="BB362" i="5"/>
  <c r="BB361" i="5"/>
  <c r="BB360" i="5"/>
  <c r="BB359" i="5"/>
  <c r="BB358" i="5"/>
  <c r="BB357" i="5"/>
  <c r="BB356" i="5"/>
  <c r="BB355" i="5"/>
  <c r="BB354" i="5"/>
  <c r="BB353" i="5"/>
  <c r="BB352" i="5"/>
  <c r="BB351" i="5"/>
  <c r="BB350" i="5"/>
  <c r="BB349" i="5"/>
  <c r="BB348" i="5"/>
  <c r="BB347" i="5"/>
  <c r="BB346" i="5"/>
  <c r="BB345" i="5"/>
  <c r="BB344" i="5"/>
  <c r="BB343" i="5"/>
  <c r="BB342" i="5"/>
  <c r="BB341" i="5"/>
  <c r="BB340" i="5"/>
  <c r="BB339" i="5"/>
  <c r="BB338" i="5"/>
  <c r="BB337" i="5"/>
  <c r="BB336" i="5"/>
  <c r="BB335" i="5"/>
  <c r="BB334" i="5"/>
  <c r="BB333" i="5"/>
  <c r="BB332" i="5"/>
  <c r="BB331" i="5"/>
  <c r="BB330" i="5"/>
  <c r="BB329" i="5"/>
  <c r="BB328" i="5"/>
  <c r="BB327" i="5"/>
  <c r="BB326" i="5"/>
  <c r="BB325" i="5"/>
  <c r="BB324" i="5"/>
  <c r="BB313" i="5"/>
  <c r="BB312" i="5"/>
  <c r="BB311" i="5"/>
  <c r="BB310" i="5"/>
  <c r="BB309" i="5"/>
  <c r="BB308" i="5"/>
  <c r="BB307" i="5"/>
  <c r="BB306" i="5"/>
  <c r="BB301" i="5"/>
  <c r="BB300" i="5"/>
  <c r="BB299" i="5"/>
  <c r="BB298" i="5"/>
  <c r="BB297" i="5"/>
  <c r="BB296" i="5"/>
  <c r="BB295" i="5"/>
  <c r="BB294" i="5"/>
  <c r="BB293" i="5"/>
  <c r="BB292" i="5"/>
  <c r="BB291" i="5"/>
  <c r="BB290" i="5"/>
  <c r="BB289" i="5"/>
  <c r="BB288" i="5"/>
  <c r="BB287" i="5"/>
  <c r="BB286" i="5"/>
  <c r="BB285" i="5"/>
  <c r="BB284" i="5"/>
  <c r="BB283" i="5"/>
  <c r="BB282" i="5"/>
  <c r="BB281" i="5"/>
  <c r="BB280" i="5"/>
  <c r="BB279" i="5"/>
  <c r="BB278" i="5"/>
  <c r="BB277" i="5"/>
  <c r="BB276" i="5"/>
  <c r="BB275" i="5"/>
  <c r="BB274" i="5"/>
  <c r="BB273" i="5"/>
  <c r="BB272" i="5"/>
  <c r="BB271" i="5"/>
  <c r="BB270" i="5"/>
  <c r="BB269" i="5"/>
  <c r="BB268" i="5"/>
  <c r="BB267" i="5"/>
  <c r="BB266" i="5"/>
  <c r="BB265" i="5"/>
  <c r="BB264" i="5"/>
  <c r="BB263" i="5"/>
  <c r="BB262" i="5"/>
  <c r="BB261" i="5"/>
  <c r="BB260" i="5"/>
  <c r="BB259" i="5"/>
  <c r="BB258" i="5"/>
  <c r="BB257" i="5"/>
  <c r="BB256" i="5"/>
  <c r="BB255" i="5"/>
  <c r="BB254" i="5"/>
  <c r="BB253" i="5"/>
  <c r="BB252" i="5"/>
  <c r="BB251" i="5"/>
  <c r="BB250" i="5"/>
  <c r="BB249" i="5"/>
  <c r="BB248" i="5"/>
  <c r="BB243" i="5"/>
  <c r="BB242" i="5"/>
  <c r="BB241" i="5"/>
  <c r="BB240" i="5"/>
  <c r="BB239" i="5"/>
  <c r="BB238" i="5"/>
  <c r="BB237" i="5"/>
  <c r="BB236" i="5"/>
  <c r="BB235" i="5"/>
  <c r="BB234" i="5"/>
  <c r="BB233" i="5"/>
  <c r="BB232" i="5"/>
  <c r="BB231" i="5"/>
  <c r="BB230" i="5"/>
  <c r="BB229" i="5"/>
  <c r="BB228" i="5"/>
  <c r="BB227" i="5"/>
  <c r="BB226" i="5"/>
  <c r="BB225" i="5"/>
  <c r="BB224" i="5"/>
  <c r="BB223" i="5"/>
  <c r="BB222" i="5"/>
  <c r="BB221" i="5"/>
  <c r="BB220" i="5"/>
  <c r="BB219" i="5"/>
  <c r="BB218" i="5"/>
  <c r="BB217" i="5"/>
  <c r="BB216" i="5"/>
  <c r="BB215" i="5"/>
  <c r="BB214" i="5"/>
  <c r="BB213" i="5"/>
  <c r="BB212" i="5"/>
  <c r="BB211" i="5"/>
  <c r="BB205" i="5"/>
  <c r="BB204" i="5"/>
  <c r="BB203" i="5"/>
  <c r="BB202" i="5"/>
  <c r="BB201" i="5"/>
  <c r="BB199" i="5"/>
  <c r="BB198" i="5"/>
  <c r="BB197" i="5"/>
  <c r="BB196" i="5"/>
  <c r="BB195" i="5"/>
  <c r="BB194" i="5"/>
  <c r="BB193" i="5"/>
  <c r="BB192" i="5"/>
  <c r="BB191" i="5"/>
  <c r="BB190" i="5"/>
  <c r="BB189" i="5"/>
  <c r="BB188" i="5"/>
  <c r="BB187" i="5"/>
  <c r="BB186" i="5"/>
  <c r="BB185" i="5"/>
  <c r="BB184" i="5"/>
  <c r="BB183" i="5"/>
  <c r="BB182" i="5"/>
  <c r="BB181" i="5"/>
  <c r="BB180" i="5"/>
  <c r="BB179" i="5"/>
  <c r="BB178" i="5"/>
  <c r="BB177" i="5"/>
  <c r="BB176" i="5"/>
  <c r="BB175" i="5"/>
  <c r="BB174" i="5"/>
  <c r="BB173" i="5"/>
  <c r="BB172" i="5"/>
  <c r="BB171" i="5"/>
  <c r="BB170" i="5"/>
  <c r="BB169" i="5"/>
  <c r="BB168" i="5"/>
  <c r="BB167" i="5"/>
  <c r="BB166" i="5"/>
  <c r="BB165" i="5"/>
  <c r="BB164" i="5"/>
  <c r="BB163" i="5"/>
  <c r="BB162" i="5"/>
  <c r="BB161" i="5"/>
  <c r="BB160" i="5"/>
  <c r="BB159" i="5"/>
  <c r="BB158" i="5"/>
  <c r="BB157" i="5"/>
  <c r="BB156" i="5"/>
  <c r="BB155" i="5"/>
  <c r="BB154" i="5"/>
  <c r="BB153" i="5"/>
  <c r="BB152" i="5"/>
  <c r="BB151" i="5"/>
  <c r="BB150" i="5"/>
  <c r="BB149" i="5"/>
  <c r="BB148" i="5"/>
  <c r="BB147" i="5"/>
  <c r="BB146" i="5"/>
  <c r="BB145" i="5"/>
  <c r="BB144" i="5"/>
  <c r="BB143" i="5"/>
  <c r="BB142" i="5"/>
  <c r="BB141" i="5"/>
  <c r="BB140" i="5"/>
  <c r="BB139" i="5"/>
  <c r="BB138" i="5"/>
  <c r="BB137" i="5"/>
  <c r="BB136" i="5"/>
  <c r="BB135" i="5"/>
  <c r="BB134" i="5"/>
  <c r="BB133" i="5"/>
  <c r="BB132" i="5"/>
  <c r="BB131" i="5"/>
  <c r="BB130" i="5"/>
  <c r="BB129" i="5"/>
  <c r="BB128" i="5"/>
  <c r="BB127" i="5"/>
  <c r="BB126" i="5"/>
  <c r="BB125" i="5"/>
  <c r="BB124" i="5"/>
  <c r="BB123" i="5"/>
  <c r="BB122" i="5"/>
  <c r="BB121" i="5"/>
  <c r="BB120" i="5"/>
  <c r="BB119" i="5"/>
  <c r="BB118" i="5"/>
  <c r="BB117" i="5"/>
  <c r="BB116" i="5"/>
  <c r="BB115" i="5"/>
  <c r="BB105" i="5"/>
  <c r="BB104" i="5"/>
  <c r="BB103" i="5"/>
  <c r="BB102" i="5"/>
  <c r="BB101" i="5"/>
  <c r="BB100" i="5"/>
  <c r="BB99" i="5"/>
  <c r="BB98" i="5"/>
  <c r="BB97" i="5"/>
  <c r="BB96" i="5"/>
  <c r="BB93" i="5"/>
  <c r="BB90" i="5"/>
  <c r="BB89" i="5"/>
  <c r="BB88" i="5"/>
  <c r="BB87" i="5"/>
  <c r="BB86" i="5"/>
  <c r="BB85" i="5"/>
  <c r="BB84" i="5"/>
  <c r="BB83" i="5"/>
  <c r="BB82" i="5"/>
  <c r="BB77" i="5"/>
  <c r="BB76" i="5"/>
  <c r="BB75" i="5"/>
  <c r="BB74" i="5"/>
  <c r="BB73" i="5"/>
  <c r="BB72" i="5"/>
  <c r="BB71" i="5"/>
  <c r="BB70" i="5"/>
  <c r="BB69" i="5"/>
  <c r="BB68" i="5"/>
  <c r="BB67" i="5"/>
  <c r="BB66" i="5"/>
  <c r="BB65" i="5"/>
  <c r="BB64" i="5"/>
  <c r="BB63" i="5"/>
  <c r="BB62" i="5"/>
  <c r="BB61" i="5"/>
  <c r="BB60" i="5"/>
  <c r="BB59" i="5"/>
  <c r="BB58" i="5"/>
  <c r="BB57" i="5"/>
  <c r="BB56" i="5"/>
  <c r="BB55" i="5"/>
  <c r="BB54" i="5"/>
  <c r="BB53" i="5"/>
  <c r="BB52" i="5"/>
  <c r="BB51" i="5"/>
  <c r="BB50" i="5"/>
  <c r="BB49" i="5"/>
  <c r="BB48" i="5"/>
  <c r="BB47" i="5"/>
  <c r="BB46" i="5"/>
  <c r="BB45" i="5"/>
  <c r="BB44" i="5"/>
  <c r="BB43" i="5"/>
  <c r="BB42" i="5"/>
  <c r="BB41" i="5"/>
  <c r="BB40" i="5"/>
  <c r="BB39" i="5"/>
  <c r="BB38" i="5"/>
  <c r="BB37" i="5"/>
  <c r="BB36" i="5"/>
  <c r="BB35" i="5"/>
  <c r="BB34" i="5"/>
  <c r="BB33" i="5"/>
  <c r="BB32" i="5"/>
  <c r="BB31" i="5"/>
  <c r="BB30" i="5"/>
  <c r="BB29" i="5"/>
  <c r="BB28" i="5"/>
  <c r="BB27" i="5"/>
  <c r="BB26" i="5"/>
  <c r="BB25" i="5"/>
  <c r="BB24" i="5"/>
  <c r="BB23" i="5"/>
  <c r="BB22" i="5"/>
  <c r="BB21" i="5"/>
  <c r="BB20" i="5"/>
  <c r="BB19" i="5"/>
  <c r="BB18" i="5"/>
  <c r="BB17" i="5"/>
  <c r="BB16" i="5"/>
  <c r="BB15" i="5"/>
  <c r="BB14" i="5"/>
  <c r="BB13" i="5"/>
  <c r="BB12" i="5"/>
  <c r="BB11" i="5"/>
  <c r="BB10" i="5"/>
  <c r="A475" i="5"/>
  <c r="Z474" i="5"/>
  <c r="Z480" i="5" s="1"/>
  <c r="Y474" i="5"/>
  <c r="Y480" i="5" s="1"/>
  <c r="X474" i="5"/>
  <c r="X480" i="5" s="1"/>
  <c r="W474" i="5"/>
  <c r="W480" i="5" s="1"/>
  <c r="V474" i="5"/>
  <c r="V480" i="5" s="1"/>
  <c r="U474" i="5"/>
  <c r="U480" i="5" s="1"/>
  <c r="T474" i="5"/>
  <c r="T480" i="5" s="1"/>
  <c r="S474" i="5"/>
  <c r="S480" i="5" s="1"/>
  <c r="A474" i="5"/>
  <c r="Q477" i="5"/>
  <c r="P477" i="5"/>
  <c r="O477" i="5"/>
  <c r="N477" i="5"/>
  <c r="M477" i="5"/>
  <c r="L477" i="5"/>
  <c r="K477" i="5"/>
  <c r="J477" i="5"/>
  <c r="I477" i="5"/>
  <c r="H477" i="5"/>
  <c r="G477" i="5"/>
  <c r="F477" i="5"/>
  <c r="A473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AE451" i="5"/>
  <c r="T451" i="5"/>
  <c r="S451" i="5"/>
  <c r="A446" i="5"/>
  <c r="A445" i="5"/>
  <c r="A444" i="5"/>
  <c r="A443" i="5"/>
  <c r="A442" i="5"/>
  <c r="A441" i="5"/>
  <c r="A440" i="5"/>
  <c r="Q448" i="5"/>
  <c r="Q451" i="5" s="1"/>
  <c r="AD451" i="5" s="1"/>
  <c r="O448" i="5"/>
  <c r="O451" i="5" s="1"/>
  <c r="AB451" i="5" s="1"/>
  <c r="N448" i="5"/>
  <c r="N451" i="5" s="1"/>
  <c r="AA451" i="5" s="1"/>
  <c r="K448" i="5"/>
  <c r="K451" i="5" s="1"/>
  <c r="X451" i="5" s="1"/>
  <c r="G448" i="5"/>
  <c r="G451" i="5" s="1"/>
  <c r="A439" i="5"/>
  <c r="AD430" i="5"/>
  <c r="AC430" i="5"/>
  <c r="AB430" i="5"/>
  <c r="AA430" i="5"/>
  <c r="Z430" i="5"/>
  <c r="Y430" i="5"/>
  <c r="X430" i="5"/>
  <c r="W430" i="5"/>
  <c r="V430" i="5"/>
  <c r="U430" i="5"/>
  <c r="T430" i="5"/>
  <c r="S430" i="5"/>
  <c r="A430" i="5"/>
  <c r="AD429" i="5"/>
  <c r="AC429" i="5"/>
  <c r="AB429" i="5"/>
  <c r="AA429" i="5"/>
  <c r="Z429" i="5"/>
  <c r="Y429" i="5"/>
  <c r="X429" i="5"/>
  <c r="W429" i="5"/>
  <c r="V429" i="5"/>
  <c r="U429" i="5"/>
  <c r="T429" i="5"/>
  <c r="A429" i="5"/>
  <c r="AD428" i="5"/>
  <c r="AC428" i="5"/>
  <c r="AB428" i="5"/>
  <c r="AA428" i="5"/>
  <c r="Z428" i="5"/>
  <c r="Y428" i="5"/>
  <c r="X428" i="5"/>
  <c r="W428" i="5"/>
  <c r="V428" i="5"/>
  <c r="U428" i="5"/>
  <c r="T428" i="5"/>
  <c r="S428" i="5"/>
  <c r="A428" i="5"/>
  <c r="AD427" i="5"/>
  <c r="AC427" i="5"/>
  <c r="AB427" i="5"/>
  <c r="AA427" i="5"/>
  <c r="Z427" i="5"/>
  <c r="Y427" i="5"/>
  <c r="X427" i="5"/>
  <c r="W427" i="5"/>
  <c r="V427" i="5"/>
  <c r="U427" i="5"/>
  <c r="T427" i="5"/>
  <c r="S427" i="5"/>
  <c r="A427" i="5"/>
  <c r="AD426" i="5"/>
  <c r="AC426" i="5"/>
  <c r="AB426" i="5"/>
  <c r="AA426" i="5"/>
  <c r="Z426" i="5"/>
  <c r="Y426" i="5"/>
  <c r="X426" i="5"/>
  <c r="W426" i="5"/>
  <c r="V426" i="5"/>
  <c r="U426" i="5"/>
  <c r="T426" i="5"/>
  <c r="S426" i="5"/>
  <c r="A426" i="5"/>
  <c r="Q432" i="5"/>
  <c r="Q435" i="5" s="1"/>
  <c r="P432" i="5"/>
  <c r="P435" i="5" s="1"/>
  <c r="O432" i="5"/>
  <c r="O435" i="5" s="1"/>
  <c r="N432" i="5"/>
  <c r="N435" i="5" s="1"/>
  <c r="M432" i="5"/>
  <c r="M435" i="5" s="1"/>
  <c r="L432" i="5"/>
  <c r="L435" i="5" s="1"/>
  <c r="K432" i="5"/>
  <c r="K435" i="5" s="1"/>
  <c r="J432" i="5"/>
  <c r="J435" i="5" s="1"/>
  <c r="I432" i="5"/>
  <c r="I435" i="5" s="1"/>
  <c r="H432" i="5"/>
  <c r="H435" i="5" s="1"/>
  <c r="G432" i="5"/>
  <c r="G435" i="5" s="1"/>
  <c r="A425" i="5"/>
  <c r="AC416" i="5"/>
  <c r="A416" i="5"/>
  <c r="A415" i="5"/>
  <c r="AD415" i="5" s="1"/>
  <c r="R414" i="5"/>
  <c r="A414" i="5"/>
  <c r="AA414" i="5" s="1"/>
  <c r="A413" i="5"/>
  <c r="Q418" i="5"/>
  <c r="P418" i="5"/>
  <c r="O418" i="5"/>
  <c r="N418" i="5"/>
  <c r="M418" i="5"/>
  <c r="L418" i="5"/>
  <c r="K418" i="5"/>
  <c r="J418" i="5"/>
  <c r="I418" i="5"/>
  <c r="H418" i="5"/>
  <c r="G418" i="5"/>
  <c r="F418" i="5"/>
  <c r="A412" i="5"/>
  <c r="A407" i="5"/>
  <c r="A406" i="5"/>
  <c r="A405" i="5"/>
  <c r="R404" i="5"/>
  <c r="A404" i="5"/>
  <c r="A403" i="5"/>
  <c r="A402" i="5"/>
  <c r="A401" i="5"/>
  <c r="R400" i="5"/>
  <c r="A400" i="5"/>
  <c r="A399" i="5"/>
  <c r="A398" i="5"/>
  <c r="A397" i="5"/>
  <c r="R396" i="5"/>
  <c r="A396" i="5"/>
  <c r="A395" i="5"/>
  <c r="A394" i="5"/>
  <c r="A393" i="5"/>
  <c r="A392" i="5"/>
  <c r="R391" i="5"/>
  <c r="AC391" i="5"/>
  <c r="A391" i="5"/>
  <c r="A390" i="5"/>
  <c r="AD390" i="5" s="1"/>
  <c r="A389" i="5"/>
  <c r="A388" i="5"/>
  <c r="AB388" i="5" s="1"/>
  <c r="R387" i="5"/>
  <c r="AC387" i="5"/>
  <c r="A387" i="5"/>
  <c r="A386" i="5"/>
  <c r="S386" i="5" s="1"/>
  <c r="A385" i="5"/>
  <c r="S385" i="5" s="1"/>
  <c r="A384" i="5"/>
  <c r="S384" i="5" s="1"/>
  <c r="A383" i="5"/>
  <c r="S383" i="5" s="1"/>
  <c r="A382" i="5"/>
  <c r="S382" i="5" s="1"/>
  <c r="A381" i="5"/>
  <c r="S381" i="5" s="1"/>
  <c r="A380" i="5"/>
  <c r="A379" i="5"/>
  <c r="A378" i="5"/>
  <c r="A377" i="5"/>
  <c r="A376" i="5"/>
  <c r="A375" i="5"/>
  <c r="A374" i="5"/>
  <c r="A373" i="5"/>
  <c r="A372" i="5"/>
  <c r="A371" i="5"/>
  <c r="A370" i="5"/>
  <c r="A369" i="5"/>
  <c r="A368" i="5"/>
  <c r="A367" i="5"/>
  <c r="A366" i="5"/>
  <c r="A365" i="5"/>
  <c r="A364" i="5"/>
  <c r="A363" i="5"/>
  <c r="A362" i="5"/>
  <c r="A361" i="5"/>
  <c r="A360" i="5"/>
  <c r="A359" i="5"/>
  <c r="A358" i="5"/>
  <c r="A357" i="5"/>
  <c r="A356" i="5"/>
  <c r="R355" i="5"/>
  <c r="A355" i="5"/>
  <c r="A354" i="5"/>
  <c r="A353" i="5"/>
  <c r="A352" i="5"/>
  <c r="R351" i="5"/>
  <c r="A351" i="5"/>
  <c r="A350" i="5"/>
  <c r="A349" i="5"/>
  <c r="A348" i="5"/>
  <c r="R347" i="5"/>
  <c r="A347" i="5"/>
  <c r="A346" i="5"/>
  <c r="A345" i="5"/>
  <c r="A344" i="5"/>
  <c r="R343" i="5"/>
  <c r="A343" i="5"/>
  <c r="A342" i="5"/>
  <c r="A341" i="5"/>
  <c r="A340" i="5"/>
  <c r="R339" i="5"/>
  <c r="A339" i="5"/>
  <c r="A338" i="5"/>
  <c r="A337" i="5"/>
  <c r="A336" i="5"/>
  <c r="R335" i="5"/>
  <c r="A335" i="5"/>
  <c r="A334" i="5"/>
  <c r="A333" i="5"/>
  <c r="X332" i="5"/>
  <c r="A332" i="5"/>
  <c r="A331" i="5"/>
  <c r="A330" i="5"/>
  <c r="A329" i="5"/>
  <c r="A328" i="5"/>
  <c r="A327" i="5"/>
  <c r="A326" i="5"/>
  <c r="A325" i="5"/>
  <c r="Q409" i="5"/>
  <c r="Q421" i="5" s="1"/>
  <c r="O409" i="5"/>
  <c r="O421" i="5" s="1"/>
  <c r="N409" i="5"/>
  <c r="N421" i="5" s="1"/>
  <c r="M409" i="5"/>
  <c r="M421" i="5" s="1"/>
  <c r="L409" i="5"/>
  <c r="L421" i="5" s="1"/>
  <c r="K409" i="5"/>
  <c r="K421" i="5" s="1"/>
  <c r="J409" i="5"/>
  <c r="J421" i="5" s="1"/>
  <c r="I409" i="5"/>
  <c r="I421" i="5" s="1"/>
  <c r="H409" i="5"/>
  <c r="H421" i="5" s="1"/>
  <c r="G409" i="5"/>
  <c r="G421" i="5" s="1"/>
  <c r="F409" i="5"/>
  <c r="F421" i="5" s="1"/>
  <c r="A324" i="5"/>
  <c r="A313" i="5"/>
  <c r="A312" i="5"/>
  <c r="A311" i="5"/>
  <c r="AC310" i="5"/>
  <c r="AB310" i="5"/>
  <c r="AA310" i="5"/>
  <c r="Y310" i="5"/>
  <c r="X310" i="5"/>
  <c r="W310" i="5"/>
  <c r="U310" i="5"/>
  <c r="A310" i="5"/>
  <c r="A309" i="5"/>
  <c r="R308" i="5"/>
  <c r="A308" i="5"/>
  <c r="A307" i="5"/>
  <c r="Q315" i="5"/>
  <c r="P315" i="5"/>
  <c r="N315" i="5"/>
  <c r="M315" i="5"/>
  <c r="L315" i="5"/>
  <c r="J315" i="5"/>
  <c r="I315" i="5"/>
  <c r="H315" i="5"/>
  <c r="F315" i="5"/>
  <c r="A306" i="5"/>
  <c r="A301" i="5"/>
  <c r="S300" i="5"/>
  <c r="A300" i="5"/>
  <c r="A299" i="5"/>
  <c r="A298" i="5"/>
  <c r="AA297" i="5"/>
  <c r="W297" i="5"/>
  <c r="A297" i="5"/>
  <c r="AC296" i="5"/>
  <c r="AB296" i="5"/>
  <c r="AA296" i="5"/>
  <c r="Y296" i="5"/>
  <c r="X296" i="5"/>
  <c r="W296" i="5"/>
  <c r="U296" i="5"/>
  <c r="T296" i="5"/>
  <c r="A296" i="5"/>
  <c r="A295" i="5"/>
  <c r="R294" i="5"/>
  <c r="A294" i="5"/>
  <c r="T293" i="5"/>
  <c r="S293" i="5"/>
  <c r="A293" i="5"/>
  <c r="A292" i="5"/>
  <c r="A291" i="5"/>
  <c r="AC290" i="5"/>
  <c r="AX290" i="5" s="1"/>
  <c r="AB290" i="5"/>
  <c r="AW290" i="5" s="1"/>
  <c r="AA290" i="5"/>
  <c r="AV290" i="5" s="1"/>
  <c r="Y290" i="5"/>
  <c r="AT290" i="5" s="1"/>
  <c r="X290" i="5"/>
  <c r="AS290" i="5" s="1"/>
  <c r="W290" i="5"/>
  <c r="AR290" i="5" s="1"/>
  <c r="U290" i="5"/>
  <c r="AP290" i="5" s="1"/>
  <c r="A290" i="5"/>
  <c r="AB289" i="5"/>
  <c r="AW289" i="5" s="1"/>
  <c r="X289" i="5"/>
  <c r="AS289" i="5" s="1"/>
  <c r="A289" i="5"/>
  <c r="AL288" i="5"/>
  <c r="A288" i="5"/>
  <c r="AA287" i="5"/>
  <c r="W287" i="5"/>
  <c r="T287" i="5"/>
  <c r="S287" i="5"/>
  <c r="A287" i="5"/>
  <c r="A286" i="5"/>
  <c r="A285" i="5"/>
  <c r="AA284" i="5"/>
  <c r="AV284" i="5" s="1"/>
  <c r="W284" i="5"/>
  <c r="AR284" i="5" s="1"/>
  <c r="A284" i="5"/>
  <c r="T283" i="5"/>
  <c r="AO283" i="5" s="1"/>
  <c r="A283" i="5"/>
  <c r="A282" i="5"/>
  <c r="A281" i="5"/>
  <c r="AC280" i="5"/>
  <c r="AX280" i="5" s="1"/>
  <c r="AB280" i="5"/>
  <c r="AW280" i="5" s="1"/>
  <c r="Y280" i="5"/>
  <c r="AT280" i="5" s="1"/>
  <c r="X280" i="5"/>
  <c r="AS280" i="5" s="1"/>
  <c r="U280" i="5"/>
  <c r="AP280" i="5" s="1"/>
  <c r="A280" i="5"/>
  <c r="AL279" i="5"/>
  <c r="R279" i="5"/>
  <c r="A279" i="5"/>
  <c r="AA278" i="5"/>
  <c r="W278" i="5"/>
  <c r="A278" i="5"/>
  <c r="AB277" i="5"/>
  <c r="AW277" i="5" s="1"/>
  <c r="X277" i="5"/>
  <c r="AS277" i="5" s="1"/>
  <c r="A277" i="5"/>
  <c r="A276" i="5"/>
  <c r="A275" i="5"/>
  <c r="AL274" i="5"/>
  <c r="A274" i="5"/>
  <c r="AL273" i="5"/>
  <c r="A273" i="5"/>
  <c r="AL272" i="5"/>
  <c r="A272" i="5"/>
  <c r="A271" i="5"/>
  <c r="A270" i="5"/>
  <c r="S269" i="5"/>
  <c r="A269" i="5"/>
  <c r="AB268" i="5"/>
  <c r="X268" i="5"/>
  <c r="A268" i="5"/>
  <c r="A267" i="5"/>
  <c r="S266" i="5"/>
  <c r="A266" i="5"/>
  <c r="AB265" i="5"/>
  <c r="AA265" i="5"/>
  <c r="X265" i="5"/>
  <c r="W265" i="5"/>
  <c r="A265" i="5"/>
  <c r="AC264" i="5"/>
  <c r="AB264" i="5"/>
  <c r="Y264" i="5"/>
  <c r="X264" i="5"/>
  <c r="U264" i="5"/>
  <c r="A264" i="5"/>
  <c r="A263" i="5"/>
  <c r="AD262" i="5"/>
  <c r="AA262" i="5"/>
  <c r="Z262" i="5"/>
  <c r="W262" i="5"/>
  <c r="V262" i="5"/>
  <c r="S262" i="5"/>
  <c r="A262" i="5"/>
  <c r="AC261" i="5"/>
  <c r="AB261" i="5"/>
  <c r="Y261" i="5"/>
  <c r="X261" i="5"/>
  <c r="U261" i="5"/>
  <c r="A261" i="5"/>
  <c r="A260" i="5"/>
  <c r="AA259" i="5"/>
  <c r="W259" i="5"/>
  <c r="A259" i="5"/>
  <c r="T258" i="5"/>
  <c r="S258" i="5"/>
  <c r="A258" i="5"/>
  <c r="A257" i="5"/>
  <c r="A256" i="5"/>
  <c r="AA255" i="5"/>
  <c r="W255" i="5"/>
  <c r="A255" i="5"/>
  <c r="A254" i="5"/>
  <c r="A253" i="5"/>
  <c r="A252" i="5"/>
  <c r="AA251" i="5"/>
  <c r="W251" i="5"/>
  <c r="A251" i="5"/>
  <c r="O303" i="5"/>
  <c r="K303" i="5"/>
  <c r="G303" i="5"/>
  <c r="A250" i="5"/>
  <c r="A249" i="5"/>
  <c r="A248" i="5"/>
  <c r="AA243" i="5"/>
  <c r="W243" i="5"/>
  <c r="T243" i="5"/>
  <c r="S243" i="5"/>
  <c r="AC242" i="5"/>
  <c r="AB242" i="5"/>
  <c r="Y242" i="5"/>
  <c r="X242" i="5"/>
  <c r="U242" i="5"/>
  <c r="AA241" i="5"/>
  <c r="W241" i="5"/>
  <c r="S241" i="5"/>
  <c r="AC240" i="5"/>
  <c r="AB240" i="5"/>
  <c r="Y240" i="5"/>
  <c r="X240" i="5"/>
  <c r="U240" i="5"/>
  <c r="AA239" i="5"/>
  <c r="W239" i="5"/>
  <c r="S239" i="5"/>
  <c r="R238" i="5"/>
  <c r="AC238" i="5"/>
  <c r="T238" i="5"/>
  <c r="AB237" i="5"/>
  <c r="AA237" i="5"/>
  <c r="X237" i="5"/>
  <c r="W237" i="5"/>
  <c r="T237" i="5"/>
  <c r="S237" i="5"/>
  <c r="AB235" i="5"/>
  <c r="AA235" i="5"/>
  <c r="X235" i="5"/>
  <c r="W235" i="5"/>
  <c r="T235" i="5"/>
  <c r="S235" i="5"/>
  <c r="AB233" i="5"/>
  <c r="AA233" i="5"/>
  <c r="X233" i="5"/>
  <c r="W233" i="5"/>
  <c r="T233" i="5"/>
  <c r="S233" i="5"/>
  <c r="AC233" i="5"/>
  <c r="AB231" i="5"/>
  <c r="X231" i="5"/>
  <c r="W231" i="5"/>
  <c r="T231" i="5"/>
  <c r="S231" i="5"/>
  <c r="AC231" i="5"/>
  <c r="AC230" i="5"/>
  <c r="AB229" i="5"/>
  <c r="AA229" i="5"/>
  <c r="X229" i="5"/>
  <c r="W229" i="5"/>
  <c r="T229" i="5"/>
  <c r="S229" i="5"/>
  <c r="AC229" i="5"/>
  <c r="AC228" i="5"/>
  <c r="AB227" i="5"/>
  <c r="X227" i="5"/>
  <c r="W227" i="5"/>
  <c r="T227" i="5"/>
  <c r="S227" i="5"/>
  <c r="AC227" i="5"/>
  <c r="AC226" i="5"/>
  <c r="AB225" i="5"/>
  <c r="X225" i="5"/>
  <c r="W225" i="5"/>
  <c r="T225" i="5"/>
  <c r="S225" i="5"/>
  <c r="AC225" i="5"/>
  <c r="AC224" i="5"/>
  <c r="AB223" i="5"/>
  <c r="X223" i="5"/>
  <c r="W223" i="5"/>
  <c r="T223" i="5"/>
  <c r="S223" i="5"/>
  <c r="AC223" i="5"/>
  <c r="AC222" i="5"/>
  <c r="AB221" i="5"/>
  <c r="X221" i="5"/>
  <c r="W221" i="5"/>
  <c r="T221" i="5"/>
  <c r="S221" i="5"/>
  <c r="AC221" i="5"/>
  <c r="AC220" i="5"/>
  <c r="AB219" i="5"/>
  <c r="X219" i="5"/>
  <c r="W219" i="5"/>
  <c r="T219" i="5"/>
  <c r="S219" i="5"/>
  <c r="AC219" i="5"/>
  <c r="AC218" i="5"/>
  <c r="AB217" i="5"/>
  <c r="AA217" i="5"/>
  <c r="X217" i="5"/>
  <c r="W217" i="5"/>
  <c r="T217" i="5"/>
  <c r="S217" i="5"/>
  <c r="AC217" i="5"/>
  <c r="AC216" i="5"/>
  <c r="AB215" i="5"/>
  <c r="X215" i="5"/>
  <c r="W215" i="5"/>
  <c r="T215" i="5"/>
  <c r="S215" i="5"/>
  <c r="AC215" i="5"/>
  <c r="AC214" i="5"/>
  <c r="AB213" i="5"/>
  <c r="X213" i="5"/>
  <c r="W213" i="5"/>
  <c r="T213" i="5"/>
  <c r="S213" i="5"/>
  <c r="AC213" i="5"/>
  <c r="AC212" i="5"/>
  <c r="O245" i="5"/>
  <c r="N245" i="5"/>
  <c r="K245" i="5"/>
  <c r="J245" i="5"/>
  <c r="G245" i="5"/>
  <c r="F245" i="5"/>
  <c r="A211" i="5"/>
  <c r="AB210" i="5"/>
  <c r="R210" i="5"/>
  <c r="AC210" i="5"/>
  <c r="T210" i="5"/>
  <c r="T205" i="5"/>
  <c r="S205" i="5"/>
  <c r="A205" i="5"/>
  <c r="W204" i="5"/>
  <c r="AC204" i="5"/>
  <c r="A204" i="5"/>
  <c r="T203" i="5"/>
  <c r="A203" i="5"/>
  <c r="A202" i="5"/>
  <c r="Z201" i="5"/>
  <c r="X201" i="5"/>
  <c r="V201" i="5"/>
  <c r="T201" i="5"/>
  <c r="S201" i="5"/>
  <c r="A201" i="5"/>
  <c r="AD200" i="5"/>
  <c r="Z200" i="5"/>
  <c r="V200" i="5"/>
  <c r="T200" i="5"/>
  <c r="S200" i="5"/>
  <c r="D200" i="5"/>
  <c r="A200" i="5"/>
  <c r="Z199" i="5"/>
  <c r="V199" i="5"/>
  <c r="T199" i="5"/>
  <c r="A199" i="5"/>
  <c r="A198" i="5"/>
  <c r="S197" i="5"/>
  <c r="A197" i="5"/>
  <c r="W196" i="5"/>
  <c r="A196" i="5"/>
  <c r="Z195" i="5"/>
  <c r="V195" i="5"/>
  <c r="A195" i="5"/>
  <c r="A194" i="5"/>
  <c r="T193" i="5"/>
  <c r="S193" i="5"/>
  <c r="A193" i="5"/>
  <c r="W192" i="5"/>
  <c r="A192" i="5"/>
  <c r="AD191" i="5"/>
  <c r="AC191" i="5"/>
  <c r="AB191" i="5"/>
  <c r="AA191" i="5"/>
  <c r="Z191" i="5"/>
  <c r="Y191" i="5"/>
  <c r="X191" i="5"/>
  <c r="W191" i="5"/>
  <c r="V191" i="5"/>
  <c r="U191" i="5"/>
  <c r="T191" i="5"/>
  <c r="A191" i="5"/>
  <c r="A190" i="5"/>
  <c r="A189" i="5"/>
  <c r="AA188" i="5"/>
  <c r="A188" i="5"/>
  <c r="AB187" i="5"/>
  <c r="AA187" i="5"/>
  <c r="X187" i="5"/>
  <c r="W187" i="5"/>
  <c r="T187" i="5"/>
  <c r="AD187" i="5"/>
  <c r="A187" i="5"/>
  <c r="A186" i="5"/>
  <c r="AA185" i="5"/>
  <c r="W185" i="5"/>
  <c r="T185" i="5"/>
  <c r="S185" i="5"/>
  <c r="A185" i="5"/>
  <c r="AC184" i="5"/>
  <c r="A184" i="5"/>
  <c r="AA183" i="5"/>
  <c r="X183" i="5"/>
  <c r="W183" i="5"/>
  <c r="T183" i="5"/>
  <c r="AD183" i="5"/>
  <c r="A183" i="5"/>
  <c r="A182" i="5"/>
  <c r="AA181" i="5"/>
  <c r="W181" i="5"/>
  <c r="T181" i="5"/>
  <c r="S181" i="5"/>
  <c r="A181" i="5"/>
  <c r="AC180" i="5"/>
  <c r="A180" i="5"/>
  <c r="AA179" i="5"/>
  <c r="W179" i="5"/>
  <c r="A179" i="5"/>
  <c r="AD179" i="5" s="1"/>
  <c r="T178" i="5"/>
  <c r="S178" i="5"/>
  <c r="A178" i="5"/>
  <c r="AA177" i="5"/>
  <c r="W177" i="5"/>
  <c r="S177" i="5"/>
  <c r="AB177" i="5"/>
  <c r="A177" i="5"/>
  <c r="AC176" i="5"/>
  <c r="A176" i="5"/>
  <c r="AB175" i="5"/>
  <c r="X175" i="5"/>
  <c r="A175" i="5"/>
  <c r="AD175" i="5" s="1"/>
  <c r="A174" i="5"/>
  <c r="AA174" i="5" s="1"/>
  <c r="AA173" i="5"/>
  <c r="X173" i="5"/>
  <c r="W173" i="5"/>
  <c r="T173" i="5"/>
  <c r="S173" i="5"/>
  <c r="A173" i="5"/>
  <c r="AA172" i="5"/>
  <c r="W172" i="5"/>
  <c r="S172" i="5"/>
  <c r="AC172" i="5"/>
  <c r="A172" i="5"/>
  <c r="A171" i="5"/>
  <c r="AD171" i="5" s="1"/>
  <c r="AD170" i="5"/>
  <c r="Z170" i="5"/>
  <c r="V170" i="5"/>
  <c r="S170" i="5"/>
  <c r="A170" i="5"/>
  <c r="A169" i="5"/>
  <c r="V168" i="5"/>
  <c r="AD168" i="5"/>
  <c r="AA168" i="5"/>
  <c r="Z168" i="5"/>
  <c r="W168" i="5"/>
  <c r="S168" i="5"/>
  <c r="AC168" i="5"/>
  <c r="A168" i="5"/>
  <c r="A167" i="5"/>
  <c r="Z166" i="5"/>
  <c r="V166" i="5"/>
  <c r="S166" i="5"/>
  <c r="T166" i="5"/>
  <c r="A166" i="5"/>
  <c r="AB165" i="5"/>
  <c r="X165" i="5"/>
  <c r="W165" i="5"/>
  <c r="AA165" i="5"/>
  <c r="A165" i="5"/>
  <c r="AD164" i="5"/>
  <c r="AA164" i="5"/>
  <c r="Z164" i="5"/>
  <c r="W164" i="5"/>
  <c r="S164" i="5"/>
  <c r="AC164" i="5"/>
  <c r="A164" i="5"/>
  <c r="A163" i="5"/>
  <c r="AD162" i="5"/>
  <c r="Z162" i="5"/>
  <c r="W162" i="5"/>
  <c r="V162" i="5"/>
  <c r="S162" i="5"/>
  <c r="T162" i="5"/>
  <c r="A162" i="5"/>
  <c r="X161" i="5"/>
  <c r="W161" i="5"/>
  <c r="A161" i="5"/>
  <c r="V160" i="5"/>
  <c r="AD160" i="5"/>
  <c r="AA160" i="5"/>
  <c r="Z160" i="5"/>
  <c r="W160" i="5"/>
  <c r="S160" i="5"/>
  <c r="AC160" i="5"/>
  <c r="A160" i="5"/>
  <c r="A159" i="5"/>
  <c r="AA158" i="5"/>
  <c r="Z158" i="5"/>
  <c r="W158" i="5"/>
  <c r="V158" i="5"/>
  <c r="S158" i="5"/>
  <c r="T158" i="5"/>
  <c r="A158" i="5"/>
  <c r="X157" i="5"/>
  <c r="W157" i="5"/>
  <c r="A157" i="5"/>
  <c r="AD156" i="5"/>
  <c r="AA156" i="5"/>
  <c r="Z156" i="5"/>
  <c r="W156" i="5"/>
  <c r="V156" i="5"/>
  <c r="S156" i="5"/>
  <c r="AC156" i="5"/>
  <c r="A156" i="5"/>
  <c r="A155" i="5"/>
  <c r="Z154" i="5"/>
  <c r="W154" i="5"/>
  <c r="V154" i="5"/>
  <c r="S154" i="5"/>
  <c r="T154" i="5"/>
  <c r="A154" i="5"/>
  <c r="X153" i="5"/>
  <c r="W153" i="5"/>
  <c r="A153" i="5"/>
  <c r="AD152" i="5"/>
  <c r="AA152" i="5"/>
  <c r="Z152" i="5"/>
  <c r="W152" i="5"/>
  <c r="S152" i="5"/>
  <c r="AC152" i="5"/>
  <c r="A152" i="5"/>
  <c r="A151" i="5"/>
  <c r="AA150" i="5"/>
  <c r="Z150" i="5"/>
  <c r="W150" i="5"/>
  <c r="V150" i="5"/>
  <c r="S150" i="5"/>
  <c r="T150" i="5"/>
  <c r="A150" i="5"/>
  <c r="AA149" i="5"/>
  <c r="X149" i="5"/>
  <c r="W149" i="5"/>
  <c r="A149" i="5"/>
  <c r="AD148" i="5"/>
  <c r="AA148" i="5"/>
  <c r="Z148" i="5"/>
  <c r="W148" i="5"/>
  <c r="S148" i="5"/>
  <c r="AC148" i="5"/>
  <c r="A148" i="5"/>
  <c r="AC147" i="5"/>
  <c r="AB147" i="5"/>
  <c r="Y147" i="5"/>
  <c r="X147" i="5"/>
  <c r="U147" i="5"/>
  <c r="A147" i="5"/>
  <c r="AD146" i="5"/>
  <c r="Z146" i="5"/>
  <c r="V146" i="5"/>
  <c r="T146" i="5"/>
  <c r="A146" i="5"/>
  <c r="AA145" i="5"/>
  <c r="X145" i="5"/>
  <c r="W145" i="5"/>
  <c r="T145" i="5"/>
  <c r="S145" i="5"/>
  <c r="A145" i="5"/>
  <c r="AD144" i="5"/>
  <c r="Z144" i="5"/>
  <c r="V144" i="5"/>
  <c r="AC144" i="5"/>
  <c r="A144" i="5"/>
  <c r="A143" i="5"/>
  <c r="S142" i="5"/>
  <c r="A142" i="5"/>
  <c r="AA141" i="5"/>
  <c r="W141" i="5"/>
  <c r="S141" i="5"/>
  <c r="AB141" i="5"/>
  <c r="A141" i="5"/>
  <c r="AD140" i="5"/>
  <c r="Z140" i="5"/>
  <c r="V140" i="5"/>
  <c r="AB140" i="5"/>
  <c r="AA140" i="5"/>
  <c r="Y140" i="5"/>
  <c r="X140" i="5"/>
  <c r="W140" i="5"/>
  <c r="U140" i="5"/>
  <c r="A140" i="5"/>
  <c r="R139" i="5"/>
  <c r="A139" i="5"/>
  <c r="AD138" i="5"/>
  <c r="Z138" i="5"/>
  <c r="W138" i="5"/>
  <c r="V138" i="5"/>
  <c r="S138" i="5"/>
  <c r="A138" i="5"/>
  <c r="AB137" i="5"/>
  <c r="A137" i="5"/>
  <c r="Z136" i="5"/>
  <c r="V136" i="5"/>
  <c r="AD136" i="5"/>
  <c r="AB136" i="5"/>
  <c r="AA136" i="5"/>
  <c r="X136" i="5"/>
  <c r="W136" i="5"/>
  <c r="T136" i="5"/>
  <c r="S136" i="5"/>
  <c r="AC136" i="5"/>
  <c r="A136" i="5"/>
  <c r="R135" i="5"/>
  <c r="A135" i="5"/>
  <c r="AD134" i="5"/>
  <c r="Z134" i="5"/>
  <c r="W134" i="5"/>
  <c r="V134" i="5"/>
  <c r="S134" i="5"/>
  <c r="A134" i="5"/>
  <c r="AB133" i="5"/>
  <c r="A133" i="5"/>
  <c r="Z132" i="5"/>
  <c r="V132" i="5"/>
  <c r="AD132" i="5"/>
  <c r="AB132" i="5"/>
  <c r="AA132" i="5"/>
  <c r="X132" i="5"/>
  <c r="W132" i="5"/>
  <c r="T132" i="5"/>
  <c r="S132" i="5"/>
  <c r="AC132" i="5"/>
  <c r="A132" i="5"/>
  <c r="A131" i="5"/>
  <c r="T130" i="5"/>
  <c r="A130" i="5"/>
  <c r="A129" i="5"/>
  <c r="A128" i="5"/>
  <c r="AC127" i="5"/>
  <c r="A127" i="5"/>
  <c r="S126" i="5"/>
  <c r="A126" i="5"/>
  <c r="A125" i="5"/>
  <c r="T124" i="5"/>
  <c r="A124" i="5"/>
  <c r="AB123" i="5"/>
  <c r="AA123" i="5"/>
  <c r="X123" i="5"/>
  <c r="W123" i="5"/>
  <c r="AC123" i="5"/>
  <c r="A123" i="5"/>
  <c r="A122" i="5"/>
  <c r="R121" i="5"/>
  <c r="AB121" i="5"/>
  <c r="A121" i="5"/>
  <c r="AC120" i="5"/>
  <c r="A120" i="5"/>
  <c r="T119" i="5"/>
  <c r="A119" i="5"/>
  <c r="A118" i="5"/>
  <c r="AB117" i="5"/>
  <c r="AA117" i="5"/>
  <c r="X117" i="5"/>
  <c r="W117" i="5"/>
  <c r="A117" i="5"/>
  <c r="Q207" i="5"/>
  <c r="N207" i="5"/>
  <c r="M207" i="5"/>
  <c r="J207" i="5"/>
  <c r="I207" i="5"/>
  <c r="F207" i="5"/>
  <c r="AC116" i="5"/>
  <c r="A116" i="5"/>
  <c r="A105" i="5"/>
  <c r="A104" i="5"/>
  <c r="R103" i="5"/>
  <c r="T103" i="5"/>
  <c r="A103" i="5"/>
  <c r="AB102" i="5"/>
  <c r="AA102" i="5"/>
  <c r="X102" i="5"/>
  <c r="W102" i="5"/>
  <c r="A102" i="5"/>
  <c r="S101" i="5"/>
  <c r="A101" i="5"/>
  <c r="A100" i="5"/>
  <c r="A99" i="5"/>
  <c r="AA98" i="5"/>
  <c r="W98" i="5"/>
  <c r="AC98" i="5"/>
  <c r="A98" i="5"/>
  <c r="S97" i="5"/>
  <c r="A97" i="5"/>
  <c r="Q107" i="5"/>
  <c r="M107" i="5"/>
  <c r="I107" i="5"/>
  <c r="A96" i="5"/>
  <c r="Q94" i="5"/>
  <c r="R92" i="5"/>
  <c r="A90" i="5"/>
  <c r="AA89" i="5"/>
  <c r="W89" i="5"/>
  <c r="AC89" i="5"/>
  <c r="A89" i="5"/>
  <c r="S88" i="5"/>
  <c r="A88" i="5"/>
  <c r="A87" i="5"/>
  <c r="R86" i="5"/>
  <c r="T86" i="5"/>
  <c r="A86" i="5"/>
  <c r="AB85" i="5"/>
  <c r="AA85" i="5"/>
  <c r="X85" i="5"/>
  <c r="W85" i="5"/>
  <c r="A85" i="5"/>
  <c r="AD84" i="5"/>
  <c r="AC84" i="5"/>
  <c r="AB84" i="5"/>
  <c r="Y84" i="5"/>
  <c r="X84" i="5"/>
  <c r="W84" i="5"/>
  <c r="U84" i="5"/>
  <c r="Z84" i="5"/>
  <c r="A84" i="5"/>
  <c r="R83" i="5"/>
  <c r="A83" i="5"/>
  <c r="O93" i="5"/>
  <c r="K93" i="5"/>
  <c r="G93" i="5"/>
  <c r="A82" i="5"/>
  <c r="A77" i="5"/>
  <c r="AD76" i="5"/>
  <c r="Z76" i="5"/>
  <c r="V76" i="5"/>
  <c r="R76" i="5"/>
  <c r="T76" i="5"/>
  <c r="A76" i="5"/>
  <c r="AB75" i="5"/>
  <c r="X75" i="5"/>
  <c r="W75" i="5"/>
  <c r="A75" i="5"/>
  <c r="A74" i="5"/>
  <c r="A73" i="5"/>
  <c r="A72" i="5"/>
  <c r="AA71" i="5"/>
  <c r="W71" i="5"/>
  <c r="AC71" i="5"/>
  <c r="A71" i="5"/>
  <c r="T70" i="5"/>
  <c r="A70" i="5"/>
  <c r="A69" i="5"/>
  <c r="AD68" i="5"/>
  <c r="Z68" i="5"/>
  <c r="V68" i="5"/>
  <c r="R68" i="5"/>
  <c r="T68" i="5"/>
  <c r="A68" i="5"/>
  <c r="AB67" i="5"/>
  <c r="X67" i="5"/>
  <c r="W67" i="5"/>
  <c r="A67" i="5"/>
  <c r="A66" i="5"/>
  <c r="A65" i="5"/>
  <c r="A64" i="5"/>
  <c r="AA63" i="5"/>
  <c r="W63" i="5"/>
  <c r="AC63" i="5"/>
  <c r="A63" i="5"/>
  <c r="T62" i="5"/>
  <c r="S62" i="5"/>
  <c r="A62" i="5"/>
  <c r="A61" i="5"/>
  <c r="R60" i="5"/>
  <c r="T60" i="5"/>
  <c r="A60" i="5"/>
  <c r="AB59" i="5"/>
  <c r="X59" i="5"/>
  <c r="W59" i="5"/>
  <c r="A59" i="5"/>
  <c r="T58" i="5"/>
  <c r="S58" i="5"/>
  <c r="A58" i="5"/>
  <c r="AA57" i="5"/>
  <c r="W57" i="5"/>
  <c r="T57" i="5"/>
  <c r="S57" i="5"/>
  <c r="A57" i="5"/>
  <c r="T56" i="5"/>
  <c r="S56" i="5"/>
  <c r="A56" i="5"/>
  <c r="A55" i="5"/>
  <c r="R54" i="5"/>
  <c r="T54" i="5"/>
  <c r="A54" i="5"/>
  <c r="AB53" i="5"/>
  <c r="X53" i="5"/>
  <c r="W53" i="5"/>
  <c r="A53" i="5"/>
  <c r="S52" i="5"/>
  <c r="A52" i="5"/>
  <c r="AC51" i="5"/>
  <c r="AB51" i="5"/>
  <c r="Y51" i="5"/>
  <c r="X51" i="5"/>
  <c r="U51" i="5"/>
  <c r="A51" i="5"/>
  <c r="T50" i="5"/>
  <c r="A50" i="5"/>
  <c r="T49" i="5"/>
  <c r="S49" i="5"/>
  <c r="A49" i="5"/>
  <c r="V48" i="5"/>
  <c r="AA48" i="5"/>
  <c r="W48" i="5"/>
  <c r="S48" i="5"/>
  <c r="A48" i="5"/>
  <c r="AB48" i="5" s="1"/>
  <c r="AC47" i="5"/>
  <c r="Y47" i="5"/>
  <c r="U47" i="5"/>
  <c r="W47" i="5"/>
  <c r="A47" i="5"/>
  <c r="AA46" i="5"/>
  <c r="X46" i="5"/>
  <c r="W46" i="5"/>
  <c r="T46" i="5"/>
  <c r="AC46" i="5"/>
  <c r="A46" i="5"/>
  <c r="A45" i="5"/>
  <c r="A44" i="5"/>
  <c r="AC43" i="5"/>
  <c r="Y43" i="5"/>
  <c r="U43" i="5"/>
  <c r="T43" i="5"/>
  <c r="A43" i="5"/>
  <c r="AA42" i="5"/>
  <c r="X42" i="5"/>
  <c r="W42" i="5"/>
  <c r="AC42" i="5"/>
  <c r="A42" i="5"/>
  <c r="A41" i="5"/>
  <c r="R40" i="5"/>
  <c r="A40" i="5"/>
  <c r="AA39" i="5"/>
  <c r="W39" i="5"/>
  <c r="S39" i="5"/>
  <c r="A39" i="5"/>
  <c r="AA38" i="5"/>
  <c r="W38" i="5"/>
  <c r="R38" i="5"/>
  <c r="AC38" i="5"/>
  <c r="A38" i="5"/>
  <c r="A37" i="5"/>
  <c r="A36" i="5"/>
  <c r="S36" i="5" s="1"/>
  <c r="AA35" i="5"/>
  <c r="W35" i="5"/>
  <c r="S35" i="5"/>
  <c r="AB35" i="5"/>
  <c r="T35" i="5"/>
  <c r="A35" i="5"/>
  <c r="AC34" i="5"/>
  <c r="A34" i="5"/>
  <c r="A33" i="5"/>
  <c r="A32" i="5"/>
  <c r="AB31" i="5"/>
  <c r="T31" i="5"/>
  <c r="A31" i="5"/>
  <c r="AB30" i="5"/>
  <c r="X30" i="5"/>
  <c r="A30" i="5"/>
  <c r="A29" i="5"/>
  <c r="A28" i="5"/>
  <c r="AC27" i="5"/>
  <c r="Y27" i="5"/>
  <c r="U27" i="5"/>
  <c r="T27" i="5"/>
  <c r="A27" i="5"/>
  <c r="AB26" i="5"/>
  <c r="AA26" i="5"/>
  <c r="X26" i="5"/>
  <c r="W26" i="5"/>
  <c r="AC26" i="5"/>
  <c r="A26" i="5"/>
  <c r="A25" i="5"/>
  <c r="R24" i="5"/>
  <c r="A24" i="5"/>
  <c r="AA23" i="5"/>
  <c r="W23" i="5"/>
  <c r="S23" i="5"/>
  <c r="A23" i="5"/>
  <c r="AA22" i="5"/>
  <c r="W22" i="5"/>
  <c r="R22" i="5"/>
  <c r="AC22" i="5"/>
  <c r="A22" i="5"/>
  <c r="A21" i="5"/>
  <c r="A20" i="5"/>
  <c r="S20" i="5" s="1"/>
  <c r="AA19" i="5"/>
  <c r="W19" i="5"/>
  <c r="S19" i="5"/>
  <c r="AB19" i="5"/>
  <c r="T19" i="5"/>
  <c r="A19" i="5"/>
  <c r="AC18" i="5"/>
  <c r="A18" i="5"/>
  <c r="A17" i="5"/>
  <c r="A16" i="5"/>
  <c r="AB15" i="5"/>
  <c r="T15" i="5"/>
  <c r="A15" i="5"/>
  <c r="AB14" i="5"/>
  <c r="AA14" i="5"/>
  <c r="X14" i="5"/>
  <c r="W14" i="5"/>
  <c r="A14" i="5"/>
  <c r="A13" i="5"/>
  <c r="R12" i="5"/>
  <c r="A12" i="5"/>
  <c r="AC11" i="5"/>
  <c r="AA11" i="5"/>
  <c r="Y11" i="5"/>
  <c r="W11" i="5"/>
  <c r="U11" i="5"/>
  <c r="A11" i="5"/>
  <c r="Q79" i="5"/>
  <c r="N79" i="5"/>
  <c r="M79" i="5"/>
  <c r="J79" i="5"/>
  <c r="I79" i="5"/>
  <c r="F79" i="5"/>
  <c r="AC10" i="5"/>
  <c r="A10" i="5"/>
  <c r="AN5" i="5"/>
  <c r="S5" i="5"/>
  <c r="H5" i="5"/>
  <c r="AP5" i="5" s="1"/>
  <c r="G5" i="5"/>
  <c r="AO5" i="5" s="1"/>
  <c r="BE425" i="5" l="1"/>
  <c r="BF425" i="5" s="1"/>
  <c r="BG425" i="5" s="1"/>
  <c r="BE426" i="5"/>
  <c r="BF426" i="5" s="1"/>
  <c r="BG426" i="5" s="1"/>
  <c r="BE427" i="5"/>
  <c r="BF427" i="5" s="1"/>
  <c r="BG427" i="5" s="1"/>
  <c r="BE428" i="5"/>
  <c r="BF428" i="5" s="1"/>
  <c r="BG428" i="5" s="1"/>
  <c r="BE429" i="5"/>
  <c r="BF429" i="5" s="1"/>
  <c r="BG429" i="5" s="1"/>
  <c r="BB79" i="5"/>
  <c r="S11" i="5"/>
  <c r="S12" i="5"/>
  <c r="R14" i="5"/>
  <c r="R16" i="5"/>
  <c r="T18" i="5"/>
  <c r="X18" i="5"/>
  <c r="AB18" i="5"/>
  <c r="U19" i="5"/>
  <c r="Y19" i="5"/>
  <c r="AC19" i="5"/>
  <c r="T20" i="5"/>
  <c r="AB23" i="5"/>
  <c r="V23" i="5"/>
  <c r="Z23" i="5"/>
  <c r="AD23" i="5"/>
  <c r="X25" i="5"/>
  <c r="AB25" i="5"/>
  <c r="V26" i="5"/>
  <c r="Z26" i="5"/>
  <c r="AD26" i="5"/>
  <c r="S27" i="5"/>
  <c r="W27" i="5"/>
  <c r="AA27" i="5"/>
  <c r="S28" i="5"/>
  <c r="U29" i="5"/>
  <c r="Y29" i="5"/>
  <c r="AC29" i="5"/>
  <c r="R30" i="5"/>
  <c r="W30" i="5"/>
  <c r="AA30" i="5"/>
  <c r="S32" i="5"/>
  <c r="T34" i="5"/>
  <c r="X34" i="5"/>
  <c r="AB34" i="5"/>
  <c r="U35" i="5"/>
  <c r="Y35" i="5"/>
  <c r="AC35" i="5"/>
  <c r="T36" i="5"/>
  <c r="W37" i="5"/>
  <c r="AA37" i="5"/>
  <c r="AB39" i="5"/>
  <c r="V39" i="5"/>
  <c r="Z39" i="5"/>
  <c r="AD39" i="5"/>
  <c r="X41" i="5"/>
  <c r="AB41" i="5"/>
  <c r="V42" i="5"/>
  <c r="Z42" i="5"/>
  <c r="AD42" i="5"/>
  <c r="S43" i="5"/>
  <c r="W43" i="5"/>
  <c r="S44" i="5"/>
  <c r="V46" i="5"/>
  <c r="Z46" i="5"/>
  <c r="AD46" i="5"/>
  <c r="R51" i="5"/>
  <c r="S53" i="5"/>
  <c r="AA53" i="5"/>
  <c r="X55" i="5"/>
  <c r="AB55" i="5"/>
  <c r="S59" i="5"/>
  <c r="AA59" i="5"/>
  <c r="X61" i="5"/>
  <c r="AB61" i="5"/>
  <c r="R64" i="5"/>
  <c r="W64" i="5"/>
  <c r="AA64" i="5"/>
  <c r="S67" i="5"/>
  <c r="AA67" i="5"/>
  <c r="X69" i="5"/>
  <c r="AB69" i="5"/>
  <c r="R72" i="5"/>
  <c r="W72" i="5"/>
  <c r="AA72" i="5"/>
  <c r="S75" i="5"/>
  <c r="AA75" i="5"/>
  <c r="X77" i="5"/>
  <c r="AB77" i="5"/>
  <c r="T82" i="5"/>
  <c r="S84" i="5"/>
  <c r="AE84" i="5" s="1"/>
  <c r="S85" i="5"/>
  <c r="T14" i="5"/>
  <c r="U15" i="5"/>
  <c r="Y15" i="5"/>
  <c r="AC15" i="5"/>
  <c r="V19" i="5"/>
  <c r="Z19" i="5"/>
  <c r="AD19" i="5"/>
  <c r="V22" i="5"/>
  <c r="Z22" i="5"/>
  <c r="AD22" i="5"/>
  <c r="S24" i="5"/>
  <c r="R26" i="5"/>
  <c r="R28" i="5"/>
  <c r="U31" i="5"/>
  <c r="Y31" i="5"/>
  <c r="AC31" i="5"/>
  <c r="V35" i="5"/>
  <c r="Z35" i="5"/>
  <c r="AD35" i="5"/>
  <c r="V38" i="5"/>
  <c r="Z38" i="5"/>
  <c r="AD38" i="5"/>
  <c r="S40" i="5"/>
  <c r="U41" i="5"/>
  <c r="Y41" i="5"/>
  <c r="AC41" i="5"/>
  <c r="R42" i="5"/>
  <c r="R44" i="5"/>
  <c r="R46" i="5"/>
  <c r="T47" i="5"/>
  <c r="T53" i="5"/>
  <c r="U55" i="5"/>
  <c r="Y55" i="5"/>
  <c r="AC55" i="5"/>
  <c r="T59" i="5"/>
  <c r="U61" i="5"/>
  <c r="Y61" i="5"/>
  <c r="AC61" i="5"/>
  <c r="V63" i="5"/>
  <c r="Z63" i="5"/>
  <c r="AD63" i="5"/>
  <c r="R65" i="5"/>
  <c r="T67" i="5"/>
  <c r="U69" i="5"/>
  <c r="Y69" i="5"/>
  <c r="AC69" i="5"/>
  <c r="V71" i="5"/>
  <c r="Z71" i="5"/>
  <c r="AD71" i="5"/>
  <c r="R73" i="5"/>
  <c r="T75" i="5"/>
  <c r="U77" i="5"/>
  <c r="Y77" i="5"/>
  <c r="AC77" i="5"/>
  <c r="R82" i="5"/>
  <c r="J93" i="5"/>
  <c r="J110" i="5" s="1"/>
  <c r="N93" i="5"/>
  <c r="T84" i="5"/>
  <c r="K79" i="5"/>
  <c r="T11" i="5"/>
  <c r="V15" i="5"/>
  <c r="Z15" i="5"/>
  <c r="AD15" i="5"/>
  <c r="V18" i="5"/>
  <c r="Z18" i="5"/>
  <c r="AD18" i="5"/>
  <c r="V31" i="5"/>
  <c r="Z31" i="5"/>
  <c r="AD31" i="5"/>
  <c r="V34" i="5"/>
  <c r="Z34" i="5"/>
  <c r="AD34" i="5"/>
  <c r="G79" i="5"/>
  <c r="O79" i="5"/>
  <c r="H79" i="5"/>
  <c r="L79" i="5"/>
  <c r="P79" i="5"/>
  <c r="AB11" i="5"/>
  <c r="V11" i="5"/>
  <c r="Z11" i="5"/>
  <c r="AD11" i="5"/>
  <c r="AC14" i="5"/>
  <c r="V14" i="5"/>
  <c r="Z14" i="5"/>
  <c r="AD14" i="5"/>
  <c r="S15" i="5"/>
  <c r="W15" i="5"/>
  <c r="AA15" i="5"/>
  <c r="S16" i="5"/>
  <c r="R18" i="5"/>
  <c r="W18" i="5"/>
  <c r="AA18" i="5"/>
  <c r="R20" i="5"/>
  <c r="X22" i="5"/>
  <c r="AB22" i="5"/>
  <c r="T23" i="5"/>
  <c r="U23" i="5"/>
  <c r="Y23" i="5"/>
  <c r="AC23" i="5"/>
  <c r="T24" i="5"/>
  <c r="W25" i="5"/>
  <c r="AA25" i="5"/>
  <c r="AB27" i="5"/>
  <c r="V27" i="5"/>
  <c r="Z27" i="5"/>
  <c r="AD27" i="5"/>
  <c r="X29" i="5"/>
  <c r="AB29" i="5"/>
  <c r="AC30" i="5"/>
  <c r="V30" i="5"/>
  <c r="Z30" i="5"/>
  <c r="AD30" i="5"/>
  <c r="S31" i="5"/>
  <c r="W31" i="5"/>
  <c r="AA31" i="5"/>
  <c r="R34" i="5"/>
  <c r="W34" i="5"/>
  <c r="AA34" i="5"/>
  <c r="R36" i="5"/>
  <c r="X38" i="5"/>
  <c r="AB38" i="5"/>
  <c r="T39" i="5"/>
  <c r="U39" i="5"/>
  <c r="Y39" i="5"/>
  <c r="AC39" i="5"/>
  <c r="W41" i="5"/>
  <c r="AA41" i="5"/>
  <c r="AB43" i="5"/>
  <c r="V43" i="5"/>
  <c r="Z43" i="5"/>
  <c r="AD43" i="5"/>
  <c r="T48" i="5"/>
  <c r="X48" i="5"/>
  <c r="R50" i="5"/>
  <c r="T52" i="5"/>
  <c r="AC53" i="5"/>
  <c r="V53" i="5"/>
  <c r="Z53" i="5"/>
  <c r="AD53" i="5"/>
  <c r="R55" i="5"/>
  <c r="AC59" i="5"/>
  <c r="V59" i="5"/>
  <c r="Z59" i="5"/>
  <c r="AD59" i="5"/>
  <c r="R61" i="5"/>
  <c r="X63" i="5"/>
  <c r="AB63" i="5"/>
  <c r="T64" i="5"/>
  <c r="AC67" i="5"/>
  <c r="V67" i="5"/>
  <c r="Z67" i="5"/>
  <c r="AD67" i="5"/>
  <c r="R69" i="5"/>
  <c r="X71" i="5"/>
  <c r="AB71" i="5"/>
  <c r="T72" i="5"/>
  <c r="V72" i="5"/>
  <c r="Z72" i="5"/>
  <c r="AD72" i="5"/>
  <c r="AC75" i="5"/>
  <c r="V75" i="5"/>
  <c r="Z75" i="5"/>
  <c r="AD75" i="5"/>
  <c r="R77" i="5"/>
  <c r="V84" i="5"/>
  <c r="X87" i="5"/>
  <c r="AB87" i="5"/>
  <c r="R90" i="5"/>
  <c r="W90" i="5"/>
  <c r="AA90" i="5"/>
  <c r="X96" i="5"/>
  <c r="AB96" i="5"/>
  <c r="R99" i="5"/>
  <c r="W99" i="5"/>
  <c r="AA99" i="5"/>
  <c r="S102" i="5"/>
  <c r="V117" i="5"/>
  <c r="Z117" i="5"/>
  <c r="AD117" i="5"/>
  <c r="R118" i="5"/>
  <c r="X120" i="5"/>
  <c r="AB120" i="5"/>
  <c r="Z121" i="5"/>
  <c r="V123" i="5"/>
  <c r="Z123" i="5"/>
  <c r="AD123" i="5"/>
  <c r="R125" i="5"/>
  <c r="X127" i="5"/>
  <c r="AB127" i="5"/>
  <c r="T128" i="5"/>
  <c r="S129" i="5"/>
  <c r="AA130" i="5"/>
  <c r="T133" i="5"/>
  <c r="X133" i="5"/>
  <c r="T134" i="5"/>
  <c r="U135" i="5"/>
  <c r="Y135" i="5"/>
  <c r="AC135" i="5"/>
  <c r="T137" i="5"/>
  <c r="X137" i="5"/>
  <c r="T138" i="5"/>
  <c r="U139" i="5"/>
  <c r="Y139" i="5"/>
  <c r="AC139" i="5"/>
  <c r="W142" i="5"/>
  <c r="X144" i="5"/>
  <c r="AB144" i="5"/>
  <c r="AB145" i="5"/>
  <c r="V145" i="5"/>
  <c r="Z145" i="5"/>
  <c r="AD145" i="5"/>
  <c r="R147" i="5"/>
  <c r="U148" i="5"/>
  <c r="Y148" i="5"/>
  <c r="S149" i="5"/>
  <c r="U152" i="5"/>
  <c r="Y152" i="5"/>
  <c r="S153" i="5"/>
  <c r="U156" i="5"/>
  <c r="Y156" i="5"/>
  <c r="S157" i="5"/>
  <c r="U160" i="5"/>
  <c r="Y160" i="5"/>
  <c r="S161" i="5"/>
  <c r="U164" i="5"/>
  <c r="Y164" i="5"/>
  <c r="S165" i="5"/>
  <c r="U168" i="5"/>
  <c r="Y168" i="5"/>
  <c r="S169" i="5"/>
  <c r="W169" i="5"/>
  <c r="AA169" i="5"/>
  <c r="X171" i="5"/>
  <c r="AB171" i="5"/>
  <c r="U172" i="5"/>
  <c r="Y172" i="5"/>
  <c r="AB173" i="5"/>
  <c r="V173" i="5"/>
  <c r="Z173" i="5"/>
  <c r="AD173" i="5"/>
  <c r="T174" i="5"/>
  <c r="R175" i="5"/>
  <c r="W175" i="5"/>
  <c r="AA175" i="5"/>
  <c r="T176" i="5"/>
  <c r="X176" i="5"/>
  <c r="U177" i="5"/>
  <c r="Y177" i="5"/>
  <c r="AC177" i="5"/>
  <c r="W178" i="5"/>
  <c r="X180" i="5"/>
  <c r="AB180" i="5"/>
  <c r="V183" i="5"/>
  <c r="Z183" i="5"/>
  <c r="X184" i="5"/>
  <c r="AB184" i="5"/>
  <c r="V187" i="5"/>
  <c r="Z187" i="5"/>
  <c r="U190" i="5"/>
  <c r="Y190" i="5"/>
  <c r="U192" i="5"/>
  <c r="Y192" i="5"/>
  <c r="W193" i="5"/>
  <c r="AA193" i="5"/>
  <c r="T195" i="5"/>
  <c r="X195" i="5"/>
  <c r="X198" i="5"/>
  <c r="AB198" i="5"/>
  <c r="X200" i="5"/>
  <c r="AB200" i="5"/>
  <c r="U202" i="5"/>
  <c r="Y202" i="5"/>
  <c r="R203" i="5"/>
  <c r="W203" i="5"/>
  <c r="AA203" i="5"/>
  <c r="U204" i="5"/>
  <c r="Y204" i="5"/>
  <c r="W205" i="5"/>
  <c r="AA205" i="5"/>
  <c r="X210" i="5"/>
  <c r="I245" i="5"/>
  <c r="I318" i="5" s="1"/>
  <c r="M245" i="5"/>
  <c r="Q245" i="5"/>
  <c r="Q318" i="5" s="1"/>
  <c r="T212" i="5"/>
  <c r="X212" i="5"/>
  <c r="AB212" i="5"/>
  <c r="V213" i="5"/>
  <c r="Z213" i="5"/>
  <c r="AD213" i="5"/>
  <c r="T214" i="5"/>
  <c r="X214" i="5"/>
  <c r="AB214" i="5"/>
  <c r="V215" i="5"/>
  <c r="Z215" i="5"/>
  <c r="AD215" i="5"/>
  <c r="T216" i="5"/>
  <c r="V89" i="5"/>
  <c r="Z89" i="5"/>
  <c r="AD89" i="5"/>
  <c r="V98" i="5"/>
  <c r="Z98" i="5"/>
  <c r="AD98" i="5"/>
  <c r="R100" i="5"/>
  <c r="M318" i="5"/>
  <c r="R117" i="5"/>
  <c r="AD121" i="5"/>
  <c r="R128" i="5"/>
  <c r="V141" i="5"/>
  <c r="Z141" i="5"/>
  <c r="AD141" i="5"/>
  <c r="R143" i="5"/>
  <c r="U144" i="5"/>
  <c r="Y144" i="5"/>
  <c r="T149" i="5"/>
  <c r="T153" i="5"/>
  <c r="T157" i="5"/>
  <c r="U159" i="5"/>
  <c r="Y159" i="5"/>
  <c r="T161" i="5"/>
  <c r="U163" i="5"/>
  <c r="Y163" i="5"/>
  <c r="T165" i="5"/>
  <c r="U167" i="5"/>
  <c r="Y167" i="5"/>
  <c r="T169" i="5"/>
  <c r="U171" i="5"/>
  <c r="Y171" i="5"/>
  <c r="AC171" i="5"/>
  <c r="V172" i="5"/>
  <c r="Z172" i="5"/>
  <c r="AD172" i="5"/>
  <c r="U176" i="5"/>
  <c r="V177" i="5"/>
  <c r="Z177" i="5"/>
  <c r="AD177" i="5"/>
  <c r="X178" i="5"/>
  <c r="AB178" i="5"/>
  <c r="R179" i="5"/>
  <c r="U180" i="5"/>
  <c r="Y180" i="5"/>
  <c r="R183" i="5"/>
  <c r="U184" i="5"/>
  <c r="Y184" i="5"/>
  <c r="R187" i="5"/>
  <c r="U188" i="5"/>
  <c r="Y188" i="5"/>
  <c r="AC188" i="5"/>
  <c r="R199" i="5"/>
  <c r="V204" i="5"/>
  <c r="Z204" i="5"/>
  <c r="AD204" i="5"/>
  <c r="Z210" i="5"/>
  <c r="U212" i="5"/>
  <c r="Y212" i="5"/>
  <c r="U214" i="5"/>
  <c r="Y214" i="5"/>
  <c r="U216" i="5"/>
  <c r="Y216" i="5"/>
  <c r="U218" i="5"/>
  <c r="N318" i="5"/>
  <c r="V120" i="5"/>
  <c r="Z120" i="5"/>
  <c r="AD120" i="5"/>
  <c r="V127" i="5"/>
  <c r="Z127" i="5"/>
  <c r="AD127" i="5"/>
  <c r="V133" i="5"/>
  <c r="Z133" i="5"/>
  <c r="AD133" i="5"/>
  <c r="V137" i="5"/>
  <c r="Z137" i="5"/>
  <c r="AD137" i="5"/>
  <c r="V148" i="5"/>
  <c r="V152" i="5"/>
  <c r="V164" i="5"/>
  <c r="V176" i="5"/>
  <c r="Z176" i="5"/>
  <c r="AD176" i="5"/>
  <c r="V180" i="5"/>
  <c r="Z180" i="5"/>
  <c r="AD180" i="5"/>
  <c r="V184" i="5"/>
  <c r="Z184" i="5"/>
  <c r="AD184" i="5"/>
  <c r="W202" i="5"/>
  <c r="V212" i="5"/>
  <c r="Z212" i="5"/>
  <c r="AD212" i="5"/>
  <c r="V214" i="5"/>
  <c r="Z214" i="5"/>
  <c r="AD214" i="5"/>
  <c r="V216" i="5"/>
  <c r="Z216" i="5"/>
  <c r="AD216" i="5"/>
  <c r="V218" i="5"/>
  <c r="Z218" i="5"/>
  <c r="AD218" i="5"/>
  <c r="AA84" i="5"/>
  <c r="AC85" i="5"/>
  <c r="V85" i="5"/>
  <c r="Z85" i="5"/>
  <c r="AD85" i="5"/>
  <c r="R87" i="5"/>
  <c r="X89" i="5"/>
  <c r="AB89" i="5"/>
  <c r="T90" i="5"/>
  <c r="V90" i="5"/>
  <c r="Z90" i="5"/>
  <c r="AD90" i="5"/>
  <c r="F107" i="5"/>
  <c r="J107" i="5"/>
  <c r="N107" i="5"/>
  <c r="X98" i="5"/>
  <c r="AB98" i="5"/>
  <c r="T99" i="5"/>
  <c r="V99" i="5"/>
  <c r="Z99" i="5"/>
  <c r="AD99" i="5"/>
  <c r="T101" i="5"/>
  <c r="AC102" i="5"/>
  <c r="V102" i="5"/>
  <c r="Z102" i="5"/>
  <c r="AD102" i="5"/>
  <c r="R104" i="5"/>
  <c r="G207" i="5"/>
  <c r="K207" i="5"/>
  <c r="O207" i="5"/>
  <c r="T117" i="5"/>
  <c r="U117" i="5"/>
  <c r="Y117" i="5"/>
  <c r="AC117" i="5"/>
  <c r="S120" i="5"/>
  <c r="AE120" i="5" s="1"/>
  <c r="W120" i="5"/>
  <c r="AA120" i="5"/>
  <c r="V121" i="5"/>
  <c r="S122" i="5"/>
  <c r="R124" i="5"/>
  <c r="W124" i="5"/>
  <c r="AA124" i="5"/>
  <c r="S127" i="5"/>
  <c r="W127" i="5"/>
  <c r="AA127" i="5"/>
  <c r="X128" i="5"/>
  <c r="AB129" i="5"/>
  <c r="R131" i="5"/>
  <c r="U132" i="5"/>
  <c r="Y132" i="5"/>
  <c r="S133" i="5"/>
  <c r="W133" i="5"/>
  <c r="AA133" i="5"/>
  <c r="U136" i="5"/>
  <c r="Y136" i="5"/>
  <c r="S137" i="5"/>
  <c r="W137" i="5"/>
  <c r="AA137" i="5"/>
  <c r="AC140" i="5"/>
  <c r="T141" i="5"/>
  <c r="X141" i="5"/>
  <c r="T142" i="5"/>
  <c r="W144" i="5"/>
  <c r="AA144" i="5"/>
  <c r="S146" i="5"/>
  <c r="X148" i="5"/>
  <c r="AB148" i="5"/>
  <c r="AB149" i="5"/>
  <c r="V149" i="5"/>
  <c r="Z149" i="5"/>
  <c r="AD149" i="5"/>
  <c r="R151" i="5"/>
  <c r="T152" i="5"/>
  <c r="X152" i="5"/>
  <c r="AB153" i="5"/>
  <c r="V153" i="5"/>
  <c r="Z153" i="5"/>
  <c r="AD153" i="5"/>
  <c r="R155" i="5"/>
  <c r="T156" i="5"/>
  <c r="AE156" i="5" s="1"/>
  <c r="X156" i="5"/>
  <c r="AB157" i="5"/>
  <c r="V157" i="5"/>
  <c r="Z157" i="5"/>
  <c r="AD157" i="5"/>
  <c r="R159" i="5"/>
  <c r="T160" i="5"/>
  <c r="AE160" i="5" s="1"/>
  <c r="X160" i="5"/>
  <c r="AB161" i="5"/>
  <c r="V161" i="5"/>
  <c r="Z161" i="5"/>
  <c r="AD161" i="5"/>
  <c r="R163" i="5"/>
  <c r="T164" i="5"/>
  <c r="X164" i="5"/>
  <c r="V165" i="5"/>
  <c r="Z165" i="5"/>
  <c r="AD165" i="5"/>
  <c r="R167" i="5"/>
  <c r="T168" i="5"/>
  <c r="X168" i="5"/>
  <c r="AB168" i="5"/>
  <c r="AB169" i="5"/>
  <c r="V169" i="5"/>
  <c r="Z169" i="5"/>
  <c r="AD169" i="5"/>
  <c r="T170" i="5"/>
  <c r="R171" i="5"/>
  <c r="W171" i="5"/>
  <c r="AA171" i="5"/>
  <c r="T172" i="5"/>
  <c r="AE172" i="5" s="1"/>
  <c r="X172" i="5"/>
  <c r="U173" i="5"/>
  <c r="Y173" i="5"/>
  <c r="S174" i="5"/>
  <c r="S176" i="5"/>
  <c r="W176" i="5"/>
  <c r="AA176" i="5"/>
  <c r="T177" i="5"/>
  <c r="AE177" i="5" s="1"/>
  <c r="X177" i="5"/>
  <c r="V178" i="5"/>
  <c r="Z178" i="5"/>
  <c r="W180" i="5"/>
  <c r="U183" i="5"/>
  <c r="Y183" i="5"/>
  <c r="AC183" i="5"/>
  <c r="W184" i="5"/>
  <c r="U187" i="5"/>
  <c r="Y187" i="5"/>
  <c r="AC187" i="5"/>
  <c r="W188" i="5"/>
  <c r="AB189" i="5"/>
  <c r="X190" i="5"/>
  <c r="AB190" i="5"/>
  <c r="R191" i="5"/>
  <c r="X192" i="5"/>
  <c r="AB192" i="5"/>
  <c r="V193" i="5"/>
  <c r="Z193" i="5"/>
  <c r="R195" i="5"/>
  <c r="W195" i="5"/>
  <c r="AA195" i="5"/>
  <c r="T197" i="5"/>
  <c r="W198" i="5"/>
  <c r="W200" i="5"/>
  <c r="X202" i="5"/>
  <c r="AB202" i="5"/>
  <c r="X204" i="5"/>
  <c r="AB204" i="5"/>
  <c r="V210" i="5"/>
  <c r="AD210" i="5"/>
  <c r="P245" i="5"/>
  <c r="S212" i="5"/>
  <c r="W212" i="5"/>
  <c r="U213" i="5"/>
  <c r="Y213" i="5"/>
  <c r="S214" i="5"/>
  <c r="W214" i="5"/>
  <c r="U215" i="5"/>
  <c r="X216" i="5"/>
  <c r="AB216" i="5"/>
  <c r="V217" i="5"/>
  <c r="Z217" i="5"/>
  <c r="AD217" i="5"/>
  <c r="T218" i="5"/>
  <c r="X218" i="5"/>
  <c r="AB218" i="5"/>
  <c r="V219" i="5"/>
  <c r="Z219" i="5"/>
  <c r="AD219" i="5"/>
  <c r="T220" i="5"/>
  <c r="X220" i="5"/>
  <c r="AB220" i="5"/>
  <c r="V221" i="5"/>
  <c r="Z221" i="5"/>
  <c r="AD221" i="5"/>
  <c r="T222" i="5"/>
  <c r="X222" i="5"/>
  <c r="AB222" i="5"/>
  <c r="V223" i="5"/>
  <c r="Z223" i="5"/>
  <c r="AD223" i="5"/>
  <c r="T224" i="5"/>
  <c r="X224" i="5"/>
  <c r="AB224" i="5"/>
  <c r="V225" i="5"/>
  <c r="Z225" i="5"/>
  <c r="AD225" i="5"/>
  <c r="T226" i="5"/>
  <c r="X226" i="5"/>
  <c r="AB226" i="5"/>
  <c r="V227" i="5"/>
  <c r="Z227" i="5"/>
  <c r="AD227" i="5"/>
  <c r="T228" i="5"/>
  <c r="X228" i="5"/>
  <c r="AB228" i="5"/>
  <c r="V229" i="5"/>
  <c r="Z229" i="5"/>
  <c r="AD229" i="5"/>
  <c r="T230" i="5"/>
  <c r="X230" i="5"/>
  <c r="AB230" i="5"/>
  <c r="V231" i="5"/>
  <c r="Z231" i="5"/>
  <c r="AD231" i="5"/>
  <c r="T232" i="5"/>
  <c r="AE232" i="5" s="1"/>
  <c r="X232" i="5"/>
  <c r="AB232" i="5"/>
  <c r="V233" i="5"/>
  <c r="Z233" i="5"/>
  <c r="AD233" i="5"/>
  <c r="T234" i="5"/>
  <c r="X234" i="5"/>
  <c r="AB234" i="5"/>
  <c r="V235" i="5"/>
  <c r="Z235" i="5"/>
  <c r="AD235" i="5"/>
  <c r="T236" i="5"/>
  <c r="X236" i="5"/>
  <c r="AB236" i="5"/>
  <c r="V237" i="5"/>
  <c r="Z237" i="5"/>
  <c r="AD237" i="5"/>
  <c r="U239" i="5"/>
  <c r="Y239" i="5"/>
  <c r="AC239" i="5"/>
  <c r="S240" i="5"/>
  <c r="W240" i="5"/>
  <c r="AA240" i="5"/>
  <c r="U241" i="5"/>
  <c r="Y241" i="5"/>
  <c r="AC241" i="5"/>
  <c r="S242" i="5"/>
  <c r="W242" i="5"/>
  <c r="AA242" i="5"/>
  <c r="U243" i="5"/>
  <c r="Y243" i="5"/>
  <c r="AC243" i="5"/>
  <c r="X248" i="5"/>
  <c r="AB248" i="5"/>
  <c r="W249" i="5"/>
  <c r="AA249" i="5"/>
  <c r="I303" i="5"/>
  <c r="M303" i="5"/>
  <c r="Q303" i="5"/>
  <c r="U251" i="5"/>
  <c r="Y251" i="5"/>
  <c r="AC251" i="5"/>
  <c r="X252" i="5"/>
  <c r="AB252" i="5"/>
  <c r="W261" i="5"/>
  <c r="AA261" i="5"/>
  <c r="R264" i="5"/>
  <c r="W264" i="5"/>
  <c r="AA264" i="5"/>
  <c r="W268" i="5"/>
  <c r="Y218" i="5"/>
  <c r="U220" i="5"/>
  <c r="Y220" i="5"/>
  <c r="U222" i="5"/>
  <c r="Y222" i="5"/>
  <c r="U224" i="5"/>
  <c r="Y224" i="5"/>
  <c r="U226" i="5"/>
  <c r="Y226" i="5"/>
  <c r="U228" i="5"/>
  <c r="Y228" i="5"/>
  <c r="U230" i="5"/>
  <c r="Y230" i="5"/>
  <c r="U232" i="5"/>
  <c r="Y232" i="5"/>
  <c r="AC232" i="5"/>
  <c r="U234" i="5"/>
  <c r="Y234" i="5"/>
  <c r="AC234" i="5"/>
  <c r="U236" i="5"/>
  <c r="Y236" i="5"/>
  <c r="AC236" i="5"/>
  <c r="V239" i="5"/>
  <c r="Z239" i="5"/>
  <c r="AD239" i="5"/>
  <c r="T240" i="5"/>
  <c r="V241" i="5"/>
  <c r="Z241" i="5"/>
  <c r="AD241" i="5"/>
  <c r="T242" i="5"/>
  <c r="AE242" i="5" s="1"/>
  <c r="V243" i="5"/>
  <c r="Z243" i="5"/>
  <c r="AD243" i="5"/>
  <c r="F303" i="5"/>
  <c r="F318" i="5" s="1"/>
  <c r="J303" i="5"/>
  <c r="J318" i="5" s="1"/>
  <c r="N303" i="5"/>
  <c r="U271" i="5"/>
  <c r="Y271" i="5"/>
  <c r="V220" i="5"/>
  <c r="Z220" i="5"/>
  <c r="AD220" i="5"/>
  <c r="V222" i="5"/>
  <c r="AE222" i="5" s="1"/>
  <c r="Z222" i="5"/>
  <c r="AD222" i="5"/>
  <c r="V224" i="5"/>
  <c r="Z224" i="5"/>
  <c r="AD224" i="5"/>
  <c r="V226" i="5"/>
  <c r="Z226" i="5"/>
  <c r="AD226" i="5"/>
  <c r="V228" i="5"/>
  <c r="Z228" i="5"/>
  <c r="AD228" i="5"/>
  <c r="V230" i="5"/>
  <c r="Z230" i="5"/>
  <c r="AD230" i="5"/>
  <c r="V232" i="5"/>
  <c r="Z232" i="5"/>
  <c r="AD232" i="5"/>
  <c r="V234" i="5"/>
  <c r="Z234" i="5"/>
  <c r="AD234" i="5"/>
  <c r="V236" i="5"/>
  <c r="Z236" i="5"/>
  <c r="AD236" i="5"/>
  <c r="Y215" i="5"/>
  <c r="S216" i="5"/>
  <c r="W216" i="5"/>
  <c r="AA216" i="5"/>
  <c r="U217" i="5"/>
  <c r="AE217" i="5" s="1"/>
  <c r="Y217" i="5"/>
  <c r="S218" i="5"/>
  <c r="W218" i="5"/>
  <c r="U219" i="5"/>
  <c r="AE219" i="5" s="1"/>
  <c r="Y219" i="5"/>
  <c r="S220" i="5"/>
  <c r="W220" i="5"/>
  <c r="U221" i="5"/>
  <c r="Y221" i="5"/>
  <c r="S222" i="5"/>
  <c r="W222" i="5"/>
  <c r="U223" i="5"/>
  <c r="Y223" i="5"/>
  <c r="S224" i="5"/>
  <c r="W224" i="5"/>
  <c r="AA224" i="5"/>
  <c r="U225" i="5"/>
  <c r="Y225" i="5"/>
  <c r="S226" i="5"/>
  <c r="W226" i="5"/>
  <c r="AE226" i="5" s="1"/>
  <c r="U227" i="5"/>
  <c r="AE227" i="5" s="1"/>
  <c r="Y227" i="5"/>
  <c r="S228" i="5"/>
  <c r="W228" i="5"/>
  <c r="U229" i="5"/>
  <c r="Y229" i="5"/>
  <c r="S230" i="5"/>
  <c r="W230" i="5"/>
  <c r="U231" i="5"/>
  <c r="AE231" i="5" s="1"/>
  <c r="Y231" i="5"/>
  <c r="S232" i="5"/>
  <c r="W232" i="5"/>
  <c r="AA232" i="5"/>
  <c r="U233" i="5"/>
  <c r="Y233" i="5"/>
  <c r="S234" i="5"/>
  <c r="W234" i="5"/>
  <c r="AA234" i="5"/>
  <c r="U235" i="5"/>
  <c r="Y235" i="5"/>
  <c r="AC235" i="5"/>
  <c r="S236" i="5"/>
  <c r="W236" i="5"/>
  <c r="AA236" i="5"/>
  <c r="U237" i="5"/>
  <c r="Y237" i="5"/>
  <c r="AC237" i="5"/>
  <c r="T239" i="5"/>
  <c r="AE239" i="5" s="1"/>
  <c r="X239" i="5"/>
  <c r="AB239" i="5"/>
  <c r="V240" i="5"/>
  <c r="Z240" i="5"/>
  <c r="AD240" i="5"/>
  <c r="T241" i="5"/>
  <c r="X241" i="5"/>
  <c r="AB241" i="5"/>
  <c r="V242" i="5"/>
  <c r="Z242" i="5"/>
  <c r="AD242" i="5"/>
  <c r="X243" i="5"/>
  <c r="AB243" i="5"/>
  <c r="R248" i="5"/>
  <c r="W248" i="5"/>
  <c r="AA248" i="5"/>
  <c r="H303" i="5"/>
  <c r="L303" i="5"/>
  <c r="P303" i="5"/>
  <c r="X251" i="5"/>
  <c r="AB251" i="5"/>
  <c r="R252" i="5"/>
  <c r="W252" i="5"/>
  <c r="AA252" i="5"/>
  <c r="X255" i="5"/>
  <c r="AB255" i="5"/>
  <c r="R256" i="5"/>
  <c r="W256" i="5"/>
  <c r="AA256" i="5"/>
  <c r="R260" i="5"/>
  <c r="T262" i="5"/>
  <c r="R267" i="5"/>
  <c r="AA268" i="5"/>
  <c r="R272" i="5"/>
  <c r="X276" i="5"/>
  <c r="AB276" i="5"/>
  <c r="AW276" i="5" s="1"/>
  <c r="W277" i="5"/>
  <c r="AR277" i="5" s="1"/>
  <c r="AA277" i="5"/>
  <c r="AV277" i="5" s="1"/>
  <c r="W280" i="5"/>
  <c r="AR280" i="5" s="1"/>
  <c r="AA280" i="5"/>
  <c r="AV280" i="5" s="1"/>
  <c r="S283" i="5"/>
  <c r="AN283" i="5" s="1"/>
  <c r="W283" i="5"/>
  <c r="AR283" i="5" s="1"/>
  <c r="AA283" i="5"/>
  <c r="AV283" i="5" s="1"/>
  <c r="V296" i="5"/>
  <c r="Z296" i="5"/>
  <c r="AD296" i="5"/>
  <c r="W299" i="5"/>
  <c r="AA299" i="5"/>
  <c r="G315" i="5"/>
  <c r="K315" i="5"/>
  <c r="O315" i="5"/>
  <c r="X309" i="5"/>
  <c r="AB309" i="5"/>
  <c r="V310" i="5"/>
  <c r="Z310" i="5"/>
  <c r="AD310" i="5"/>
  <c r="X311" i="5"/>
  <c r="AB311" i="5"/>
  <c r="W312" i="5"/>
  <c r="AA312" i="5"/>
  <c r="P409" i="5"/>
  <c r="P421" i="5" s="1"/>
  <c r="T325" i="5"/>
  <c r="W326" i="5"/>
  <c r="AA326" i="5"/>
  <c r="W330" i="5"/>
  <c r="AA330" i="5"/>
  <c r="U335" i="5"/>
  <c r="Y335" i="5"/>
  <c r="AC335" i="5"/>
  <c r="X340" i="5"/>
  <c r="AB340" i="5"/>
  <c r="T342" i="5"/>
  <c r="X342" i="5"/>
  <c r="AB342" i="5"/>
  <c r="W343" i="5"/>
  <c r="AA343" i="5"/>
  <c r="X346" i="5"/>
  <c r="AB346" i="5"/>
  <c r="U387" i="5"/>
  <c r="Y387" i="5"/>
  <c r="S388" i="5"/>
  <c r="W388" i="5"/>
  <c r="AA388" i="5"/>
  <c r="U390" i="5"/>
  <c r="Y390" i="5"/>
  <c r="AC390" i="5"/>
  <c r="W391" i="5"/>
  <c r="AA391" i="5"/>
  <c r="X393" i="5"/>
  <c r="AB393" i="5"/>
  <c r="U396" i="5"/>
  <c r="Y396" i="5"/>
  <c r="AC396" i="5"/>
  <c r="X397" i="5"/>
  <c r="AB397" i="5"/>
  <c r="U400" i="5"/>
  <c r="Y400" i="5"/>
  <c r="AC400" i="5"/>
  <c r="X401" i="5"/>
  <c r="AB401" i="5"/>
  <c r="S402" i="5"/>
  <c r="T404" i="5"/>
  <c r="X404" i="5"/>
  <c r="AB404" i="5"/>
  <c r="W405" i="5"/>
  <c r="AA405" i="5"/>
  <c r="U407" i="5"/>
  <c r="Y407" i="5"/>
  <c r="AC407" i="5"/>
  <c r="X414" i="5"/>
  <c r="AB414" i="5"/>
  <c r="W415" i="5"/>
  <c r="AA415" i="5"/>
  <c r="U416" i="5"/>
  <c r="Y416" i="5"/>
  <c r="W444" i="5"/>
  <c r="AA444" i="5"/>
  <c r="AC271" i="5"/>
  <c r="U276" i="5"/>
  <c r="Y276" i="5"/>
  <c r="AT282" i="5" s="1"/>
  <c r="AC276" i="5"/>
  <c r="AX276" i="5" s="1"/>
  <c r="X283" i="5"/>
  <c r="AS283" i="5" s="1"/>
  <c r="AB283" i="5"/>
  <c r="AW283" i="5" s="1"/>
  <c r="W293" i="5"/>
  <c r="AA293" i="5"/>
  <c r="S296" i="5"/>
  <c r="X299" i="5"/>
  <c r="AB299" i="5"/>
  <c r="U309" i="5"/>
  <c r="Y309" i="5"/>
  <c r="AC309" i="5"/>
  <c r="U311" i="5"/>
  <c r="Y311" i="5"/>
  <c r="AC311" i="5"/>
  <c r="R313" i="5"/>
  <c r="R327" i="5"/>
  <c r="R331" i="5"/>
  <c r="V335" i="5"/>
  <c r="Z335" i="5"/>
  <c r="AD335" i="5"/>
  <c r="U340" i="5"/>
  <c r="Y340" i="5"/>
  <c r="AC340" i="5"/>
  <c r="S341" i="5"/>
  <c r="U342" i="5"/>
  <c r="Y342" i="5"/>
  <c r="AC342" i="5"/>
  <c r="U346" i="5"/>
  <c r="Y346" i="5"/>
  <c r="AC346" i="5"/>
  <c r="V348" i="5"/>
  <c r="Z348" i="5"/>
  <c r="AD348" i="5"/>
  <c r="X350" i="5"/>
  <c r="AB350" i="5"/>
  <c r="W351" i="5"/>
  <c r="AA351" i="5"/>
  <c r="X354" i="5"/>
  <c r="W355" i="5"/>
  <c r="AA355" i="5"/>
  <c r="T388" i="5"/>
  <c r="X391" i="5"/>
  <c r="AB391" i="5"/>
  <c r="U393" i="5"/>
  <c r="Y393" i="5"/>
  <c r="AC393" i="5"/>
  <c r="U401" i="5"/>
  <c r="Y401" i="5"/>
  <c r="AC401" i="5"/>
  <c r="V416" i="5"/>
  <c r="Z416" i="5"/>
  <c r="AD416" i="5"/>
  <c r="X440" i="5"/>
  <c r="AB440" i="5"/>
  <c r="S441" i="5"/>
  <c r="U443" i="5"/>
  <c r="Y443" i="5"/>
  <c r="AC443" i="5"/>
  <c r="X444" i="5"/>
  <c r="AB444" i="5"/>
  <c r="S445" i="5"/>
  <c r="V311" i="5"/>
  <c r="Z311" i="5"/>
  <c r="AD311" i="5"/>
  <c r="W335" i="5"/>
  <c r="AA335" i="5"/>
  <c r="T341" i="5"/>
  <c r="V342" i="5"/>
  <c r="Z342" i="5"/>
  <c r="AD342" i="5"/>
  <c r="S348" i="5"/>
  <c r="W387" i="5"/>
  <c r="AA387" i="5"/>
  <c r="W390" i="5"/>
  <c r="AA390" i="5"/>
  <c r="U391" i="5"/>
  <c r="Y391" i="5"/>
  <c r="V414" i="5"/>
  <c r="Z414" i="5"/>
  <c r="AD414" i="5"/>
  <c r="U415" i="5"/>
  <c r="Y415" i="5"/>
  <c r="AC415" i="5"/>
  <c r="S416" i="5"/>
  <c r="W416" i="5"/>
  <c r="AA416" i="5"/>
  <c r="W271" i="5"/>
  <c r="AA271" i="5"/>
  <c r="S286" i="5"/>
  <c r="R298" i="5"/>
  <c r="T308" i="5"/>
  <c r="W309" i="5"/>
  <c r="AA309" i="5"/>
  <c r="W311" i="5"/>
  <c r="AA311" i="5"/>
  <c r="AB332" i="5"/>
  <c r="S333" i="5"/>
  <c r="X335" i="5"/>
  <c r="AB335" i="5"/>
  <c r="W336" i="5"/>
  <c r="AA336" i="5"/>
  <c r="W340" i="5"/>
  <c r="AA340" i="5"/>
  <c r="S342" i="5"/>
  <c r="W342" i="5"/>
  <c r="AA342" i="5"/>
  <c r="W346" i="5"/>
  <c r="AA346" i="5"/>
  <c r="T348" i="5"/>
  <c r="X348" i="5"/>
  <c r="AB348" i="5"/>
  <c r="S349" i="5"/>
  <c r="U351" i="5"/>
  <c r="Y351" i="5"/>
  <c r="AC351" i="5"/>
  <c r="S353" i="5"/>
  <c r="U355" i="5"/>
  <c r="Y355" i="5"/>
  <c r="AC355" i="5"/>
  <c r="V391" i="5"/>
  <c r="Z391" i="5"/>
  <c r="AD391" i="5"/>
  <c r="T392" i="5"/>
  <c r="W393" i="5"/>
  <c r="AA393" i="5"/>
  <c r="X396" i="5"/>
  <c r="AB396" i="5"/>
  <c r="W397" i="5"/>
  <c r="AA397" i="5"/>
  <c r="X400" i="5"/>
  <c r="AB400" i="5"/>
  <c r="W401" i="5"/>
  <c r="AA401" i="5"/>
  <c r="W414" i="5"/>
  <c r="X416" i="5"/>
  <c r="AB416" i="5"/>
  <c r="R425" i="5"/>
  <c r="AA425" i="5"/>
  <c r="R429" i="5"/>
  <c r="R443" i="5"/>
  <c r="AA474" i="5"/>
  <c r="AA480" i="5" s="1"/>
  <c r="AD13" i="5"/>
  <c r="Z13" i="5"/>
  <c r="V13" i="5"/>
  <c r="T16" i="5"/>
  <c r="W17" i="5"/>
  <c r="AA17" i="5"/>
  <c r="X21" i="5"/>
  <c r="AB21" i="5"/>
  <c r="U25" i="5"/>
  <c r="Y25" i="5"/>
  <c r="AC25" i="5"/>
  <c r="AD29" i="5"/>
  <c r="Z29" i="5"/>
  <c r="V29" i="5"/>
  <c r="T30" i="5"/>
  <c r="T32" i="5"/>
  <c r="W33" i="5"/>
  <c r="AA33" i="5"/>
  <c r="X37" i="5"/>
  <c r="AB37" i="5"/>
  <c r="AD45" i="5"/>
  <c r="Z45" i="5"/>
  <c r="V45" i="5"/>
  <c r="AC45" i="5"/>
  <c r="AD17" i="5"/>
  <c r="Z17" i="5"/>
  <c r="V17" i="5"/>
  <c r="W21" i="5"/>
  <c r="AA21" i="5"/>
  <c r="T12" i="5"/>
  <c r="W13" i="5"/>
  <c r="AA13" i="5"/>
  <c r="X17" i="5"/>
  <c r="AB17" i="5"/>
  <c r="U21" i="5"/>
  <c r="Y21" i="5"/>
  <c r="AC21" i="5"/>
  <c r="AD25" i="5"/>
  <c r="Z25" i="5"/>
  <c r="V25" i="5"/>
  <c r="T26" i="5"/>
  <c r="T28" i="5"/>
  <c r="W29" i="5"/>
  <c r="AA29" i="5"/>
  <c r="X33" i="5"/>
  <c r="AB33" i="5"/>
  <c r="U37" i="5"/>
  <c r="Y37" i="5"/>
  <c r="AC37" i="5"/>
  <c r="AD41" i="5"/>
  <c r="Z41" i="5"/>
  <c r="V41" i="5"/>
  <c r="T42" i="5"/>
  <c r="T44" i="5"/>
  <c r="W45" i="5"/>
  <c r="AA45" i="5"/>
  <c r="X13" i="5"/>
  <c r="AB13" i="5"/>
  <c r="U17" i="5"/>
  <c r="Y17" i="5"/>
  <c r="AC17" i="5"/>
  <c r="AD21" i="5"/>
  <c r="Z21" i="5"/>
  <c r="V21" i="5"/>
  <c r="T22" i="5"/>
  <c r="U33" i="5"/>
  <c r="Y33" i="5"/>
  <c r="AC33" i="5"/>
  <c r="AD37" i="5"/>
  <c r="Z37" i="5"/>
  <c r="V37" i="5"/>
  <c r="T38" i="5"/>
  <c r="T40" i="5"/>
  <c r="X45" i="5"/>
  <c r="AB45" i="5"/>
  <c r="U13" i="5"/>
  <c r="Y13" i="5"/>
  <c r="AC13" i="5"/>
  <c r="AD33" i="5"/>
  <c r="Z33" i="5"/>
  <c r="V33" i="5"/>
  <c r="U45" i="5"/>
  <c r="Y45" i="5"/>
  <c r="U10" i="5"/>
  <c r="Y10" i="5"/>
  <c r="I5" i="5"/>
  <c r="S10" i="5"/>
  <c r="W10" i="5"/>
  <c r="AA10" i="5"/>
  <c r="R11" i="5"/>
  <c r="Y12" i="5"/>
  <c r="T13" i="5"/>
  <c r="S14" i="5"/>
  <c r="R15" i="5"/>
  <c r="Y16" i="5"/>
  <c r="T17" i="5"/>
  <c r="S18" i="5"/>
  <c r="R19" i="5"/>
  <c r="AC20" i="5"/>
  <c r="T21" i="5"/>
  <c r="S22" i="5"/>
  <c r="R23" i="5"/>
  <c r="AD24" i="5"/>
  <c r="T25" i="5"/>
  <c r="S26" i="5"/>
  <c r="R27" i="5"/>
  <c r="U28" i="5"/>
  <c r="T29" i="5"/>
  <c r="S30" i="5"/>
  <c r="R31" i="5"/>
  <c r="Y32" i="5"/>
  <c r="T33" i="5"/>
  <c r="S34" i="5"/>
  <c r="R35" i="5"/>
  <c r="AC36" i="5"/>
  <c r="T37" i="5"/>
  <c r="S38" i="5"/>
  <c r="R39" i="5"/>
  <c r="AD40" i="5"/>
  <c r="T41" i="5"/>
  <c r="S42" i="5"/>
  <c r="R43" i="5"/>
  <c r="Y44" i="5"/>
  <c r="T45" i="5"/>
  <c r="S46" i="5"/>
  <c r="R47" i="5"/>
  <c r="S47" i="5"/>
  <c r="U48" i="5"/>
  <c r="Y48" i="5"/>
  <c r="AC48" i="5"/>
  <c r="Z48" i="5"/>
  <c r="W49" i="5"/>
  <c r="AB50" i="5"/>
  <c r="X50" i="5"/>
  <c r="U50" i="5"/>
  <c r="Y50" i="5"/>
  <c r="AC50" i="5"/>
  <c r="V54" i="5"/>
  <c r="Z54" i="5"/>
  <c r="AD54" i="5"/>
  <c r="AD58" i="5"/>
  <c r="Z58" i="5"/>
  <c r="V58" i="5"/>
  <c r="V60" i="5"/>
  <c r="Z60" i="5"/>
  <c r="AD60" i="5"/>
  <c r="AA83" i="5"/>
  <c r="W83" i="5"/>
  <c r="V83" i="5"/>
  <c r="Z83" i="5"/>
  <c r="AD83" i="5"/>
  <c r="AB86" i="5"/>
  <c r="X86" i="5"/>
  <c r="U86" i="5"/>
  <c r="Y86" i="5"/>
  <c r="AC86" i="5"/>
  <c r="AA100" i="5"/>
  <c r="W100" i="5"/>
  <c r="V100" i="5"/>
  <c r="Z100" i="5"/>
  <c r="AD100" i="5"/>
  <c r="Y101" i="5"/>
  <c r="AB103" i="5"/>
  <c r="X103" i="5"/>
  <c r="U103" i="5"/>
  <c r="Y103" i="5"/>
  <c r="AC103" i="5"/>
  <c r="X104" i="5"/>
  <c r="AB104" i="5"/>
  <c r="S105" i="5"/>
  <c r="T120" i="5"/>
  <c r="T122" i="5"/>
  <c r="T127" i="5"/>
  <c r="V128" i="5"/>
  <c r="Z128" i="5"/>
  <c r="AD128" i="5"/>
  <c r="U5" i="5"/>
  <c r="T5" i="5"/>
  <c r="T10" i="5"/>
  <c r="X10" i="5"/>
  <c r="AB10" i="5"/>
  <c r="R32" i="5"/>
  <c r="AB42" i="5"/>
  <c r="AA43" i="5"/>
  <c r="AB46" i="5"/>
  <c r="X47" i="5"/>
  <c r="AB47" i="5"/>
  <c r="AA47" i="5"/>
  <c r="AD48" i="5"/>
  <c r="X49" i="5"/>
  <c r="AB49" i="5"/>
  <c r="V50" i="5"/>
  <c r="Z50" i="5"/>
  <c r="AD50" i="5"/>
  <c r="W52" i="5"/>
  <c r="AA52" i="5"/>
  <c r="W54" i="5"/>
  <c r="AA54" i="5"/>
  <c r="AA55" i="5"/>
  <c r="W55" i="5"/>
  <c r="V55" i="5"/>
  <c r="Z55" i="5"/>
  <c r="AD55" i="5"/>
  <c r="AC56" i="5"/>
  <c r="X57" i="5"/>
  <c r="AB57" i="5"/>
  <c r="W58" i="5"/>
  <c r="AA58" i="5"/>
  <c r="W60" i="5"/>
  <c r="AA60" i="5"/>
  <c r="AA61" i="5"/>
  <c r="W61" i="5"/>
  <c r="V61" i="5"/>
  <c r="Z61" i="5"/>
  <c r="AD61" i="5"/>
  <c r="S63" i="5"/>
  <c r="AB64" i="5"/>
  <c r="X64" i="5"/>
  <c r="U64" i="5"/>
  <c r="Y64" i="5"/>
  <c r="AC64" i="5"/>
  <c r="X65" i="5"/>
  <c r="AB65" i="5"/>
  <c r="S66" i="5"/>
  <c r="W68" i="5"/>
  <c r="AA68" i="5"/>
  <c r="AA69" i="5"/>
  <c r="W69" i="5"/>
  <c r="V69" i="5"/>
  <c r="Z69" i="5"/>
  <c r="AD69" i="5"/>
  <c r="S71" i="5"/>
  <c r="AB72" i="5"/>
  <c r="X72" i="5"/>
  <c r="U72" i="5"/>
  <c r="Y72" i="5"/>
  <c r="AC72" i="5"/>
  <c r="X73" i="5"/>
  <c r="AB73" i="5"/>
  <c r="S74" i="5"/>
  <c r="W76" i="5"/>
  <c r="AA76" i="5"/>
  <c r="AA77" i="5"/>
  <c r="W77" i="5"/>
  <c r="V77" i="5"/>
  <c r="Z77" i="5"/>
  <c r="AD77" i="5"/>
  <c r="T85" i="5"/>
  <c r="V86" i="5"/>
  <c r="Z86" i="5"/>
  <c r="AD86" i="5"/>
  <c r="U87" i="5"/>
  <c r="Y87" i="5"/>
  <c r="AC87" i="5"/>
  <c r="T88" i="5"/>
  <c r="U96" i="5"/>
  <c r="Y96" i="5"/>
  <c r="AC96" i="5"/>
  <c r="T97" i="5"/>
  <c r="T102" i="5"/>
  <c r="V103" i="5"/>
  <c r="Z103" i="5"/>
  <c r="AD103" i="5"/>
  <c r="U104" i="5"/>
  <c r="Y104" i="5"/>
  <c r="AC104" i="5"/>
  <c r="T105" i="5"/>
  <c r="X118" i="5"/>
  <c r="AB118" i="5"/>
  <c r="S119" i="5"/>
  <c r="S123" i="5"/>
  <c r="AB124" i="5"/>
  <c r="X124" i="5"/>
  <c r="U124" i="5"/>
  <c r="Y124" i="5"/>
  <c r="AC124" i="5"/>
  <c r="X125" i="5"/>
  <c r="AB125" i="5"/>
  <c r="W128" i="5"/>
  <c r="X11" i="5"/>
  <c r="R13" i="5"/>
  <c r="U14" i="5"/>
  <c r="Y14" i="5"/>
  <c r="X15" i="5"/>
  <c r="R17" i="5"/>
  <c r="U18" i="5"/>
  <c r="Y18" i="5"/>
  <c r="X19" i="5"/>
  <c r="R21" i="5"/>
  <c r="U22" i="5"/>
  <c r="Y22" i="5"/>
  <c r="X23" i="5"/>
  <c r="R25" i="5"/>
  <c r="U26" i="5"/>
  <c r="Y26" i="5"/>
  <c r="X27" i="5"/>
  <c r="R29" i="5"/>
  <c r="U30" i="5"/>
  <c r="Y30" i="5"/>
  <c r="X31" i="5"/>
  <c r="R33" i="5"/>
  <c r="U34" i="5"/>
  <c r="Y34" i="5"/>
  <c r="X35" i="5"/>
  <c r="R37" i="5"/>
  <c r="U38" i="5"/>
  <c r="Y38" i="5"/>
  <c r="X39" i="5"/>
  <c r="R41" i="5"/>
  <c r="U42" i="5"/>
  <c r="Y42" i="5"/>
  <c r="X43" i="5"/>
  <c r="R45" i="5"/>
  <c r="U46" i="5"/>
  <c r="Y46" i="5"/>
  <c r="R48" i="5"/>
  <c r="W50" i="5"/>
  <c r="AA50" i="5"/>
  <c r="AA51" i="5"/>
  <c r="W51" i="5"/>
  <c r="V51" i="5"/>
  <c r="Z51" i="5"/>
  <c r="AD51" i="5"/>
  <c r="X52" i="5"/>
  <c r="AB52" i="5"/>
  <c r="U57" i="5"/>
  <c r="Y57" i="5"/>
  <c r="AC57" i="5"/>
  <c r="X58" i="5"/>
  <c r="AB58" i="5"/>
  <c r="T63" i="5"/>
  <c r="V64" i="5"/>
  <c r="Z64" i="5"/>
  <c r="AD64" i="5"/>
  <c r="U65" i="5"/>
  <c r="Y65" i="5"/>
  <c r="AC65" i="5"/>
  <c r="T66" i="5"/>
  <c r="T71" i="5"/>
  <c r="U73" i="5"/>
  <c r="Y73" i="5"/>
  <c r="AC73" i="5"/>
  <c r="T74" i="5"/>
  <c r="AB82" i="5"/>
  <c r="X82" i="5"/>
  <c r="U82" i="5"/>
  <c r="Y82" i="5"/>
  <c r="AC82" i="5"/>
  <c r="X83" i="5"/>
  <c r="AB83" i="5"/>
  <c r="W86" i="5"/>
  <c r="AA86" i="5"/>
  <c r="AA87" i="5"/>
  <c r="W87" i="5"/>
  <c r="V87" i="5"/>
  <c r="Z87" i="5"/>
  <c r="AD87" i="5"/>
  <c r="S89" i="5"/>
  <c r="AB90" i="5"/>
  <c r="X90" i="5"/>
  <c r="U90" i="5"/>
  <c r="Y90" i="5"/>
  <c r="AC90" i="5"/>
  <c r="AA96" i="5"/>
  <c r="W96" i="5"/>
  <c r="S98" i="5"/>
  <c r="AB99" i="5"/>
  <c r="X99" i="5"/>
  <c r="U99" i="5"/>
  <c r="Y99" i="5"/>
  <c r="AC99" i="5"/>
  <c r="X100" i="5"/>
  <c r="AB100" i="5"/>
  <c r="W103" i="5"/>
  <c r="AA103" i="5"/>
  <c r="AA104" i="5"/>
  <c r="W104" i="5"/>
  <c r="V104" i="5"/>
  <c r="Z104" i="5"/>
  <c r="AD104" i="5"/>
  <c r="U118" i="5"/>
  <c r="Y118" i="5"/>
  <c r="AC118" i="5"/>
  <c r="T123" i="5"/>
  <c r="V124" i="5"/>
  <c r="Z124" i="5"/>
  <c r="AD124" i="5"/>
  <c r="U125" i="5"/>
  <c r="Y125" i="5"/>
  <c r="AC125" i="5"/>
  <c r="T126" i="5"/>
  <c r="AB128" i="5"/>
  <c r="R10" i="5"/>
  <c r="V10" i="5"/>
  <c r="Z10" i="5"/>
  <c r="AD10" i="5"/>
  <c r="V47" i="5"/>
  <c r="Z47" i="5"/>
  <c r="AD47" i="5"/>
  <c r="AA49" i="5"/>
  <c r="AC49" i="5"/>
  <c r="Y49" i="5"/>
  <c r="U49" i="5"/>
  <c r="V49" i="5"/>
  <c r="AE49" i="5" s="1"/>
  <c r="Z49" i="5"/>
  <c r="AD49" i="5"/>
  <c r="AD52" i="5"/>
  <c r="Z52" i="5"/>
  <c r="V52" i="5"/>
  <c r="U52" i="5"/>
  <c r="Y52" i="5"/>
  <c r="AC52" i="5"/>
  <c r="AB54" i="5"/>
  <c r="X54" i="5"/>
  <c r="U54" i="5"/>
  <c r="Y54" i="5"/>
  <c r="AC54" i="5"/>
  <c r="AD57" i="5"/>
  <c r="Z57" i="5"/>
  <c r="V57" i="5"/>
  <c r="U58" i="5"/>
  <c r="Y58" i="5"/>
  <c r="AC58" i="5"/>
  <c r="AB60" i="5"/>
  <c r="X60" i="5"/>
  <c r="U60" i="5"/>
  <c r="Y60" i="5"/>
  <c r="AC60" i="5"/>
  <c r="AA65" i="5"/>
  <c r="W65" i="5"/>
  <c r="V65" i="5"/>
  <c r="Z65" i="5"/>
  <c r="AD65" i="5"/>
  <c r="AB68" i="5"/>
  <c r="X68" i="5"/>
  <c r="U68" i="5"/>
  <c r="Y68" i="5"/>
  <c r="AC68" i="5"/>
  <c r="S70" i="5"/>
  <c r="AA73" i="5"/>
  <c r="W73" i="5"/>
  <c r="V73" i="5"/>
  <c r="Z73" i="5"/>
  <c r="AD73" i="5"/>
  <c r="AB76" i="5"/>
  <c r="X76" i="5"/>
  <c r="U76" i="5"/>
  <c r="Y76" i="5"/>
  <c r="AC76" i="5"/>
  <c r="V82" i="5"/>
  <c r="Z82" i="5"/>
  <c r="AD82" i="5"/>
  <c r="AD93" i="5" s="1"/>
  <c r="U83" i="5"/>
  <c r="Y83" i="5"/>
  <c r="AC83" i="5"/>
  <c r="T89" i="5"/>
  <c r="T98" i="5"/>
  <c r="U100" i="5"/>
  <c r="Y100" i="5"/>
  <c r="AC100" i="5"/>
  <c r="AA118" i="5"/>
  <c r="W118" i="5"/>
  <c r="V118" i="5"/>
  <c r="Z118" i="5"/>
  <c r="AD118" i="5"/>
  <c r="AA125" i="5"/>
  <c r="W125" i="5"/>
  <c r="V125" i="5"/>
  <c r="Z125" i="5"/>
  <c r="AD125" i="5"/>
  <c r="U128" i="5"/>
  <c r="Y128" i="5"/>
  <c r="AC128" i="5"/>
  <c r="S50" i="5"/>
  <c r="S54" i="5"/>
  <c r="S60" i="5"/>
  <c r="X62" i="5"/>
  <c r="S64" i="5"/>
  <c r="S68" i="5"/>
  <c r="Y70" i="5"/>
  <c r="S72" i="5"/>
  <c r="W74" i="5"/>
  <c r="S76" i="5"/>
  <c r="S82" i="5"/>
  <c r="W82" i="5"/>
  <c r="AA82" i="5"/>
  <c r="AA93" i="5" s="1"/>
  <c r="S86" i="5"/>
  <c r="U88" i="5"/>
  <c r="S90" i="5"/>
  <c r="H93" i="5"/>
  <c r="L93" i="5"/>
  <c r="P93" i="5"/>
  <c r="R96" i="5"/>
  <c r="V96" i="5"/>
  <c r="Z96" i="5"/>
  <c r="AD96" i="5"/>
  <c r="S99" i="5"/>
  <c r="U101" i="5"/>
  <c r="S103" i="5"/>
  <c r="G107" i="5"/>
  <c r="G110" i="5" s="1"/>
  <c r="K107" i="5"/>
  <c r="K110" i="5" s="1"/>
  <c r="O107" i="5"/>
  <c r="O110" i="5" s="1"/>
  <c r="H207" i="5"/>
  <c r="L207" i="5"/>
  <c r="P207" i="5"/>
  <c r="T116" i="5"/>
  <c r="X116" i="5"/>
  <c r="AB116" i="5"/>
  <c r="S117" i="5"/>
  <c r="W119" i="5"/>
  <c r="U121" i="5"/>
  <c r="Y121" i="5"/>
  <c r="AC121" i="5"/>
  <c r="X122" i="5"/>
  <c r="S124" i="5"/>
  <c r="S128" i="5"/>
  <c r="AC129" i="5"/>
  <c r="X130" i="5"/>
  <c r="AB131" i="5"/>
  <c r="S140" i="5"/>
  <c r="AD143" i="5"/>
  <c r="AA143" i="5"/>
  <c r="W143" i="5"/>
  <c r="V143" i="5"/>
  <c r="Z143" i="5"/>
  <c r="T144" i="5"/>
  <c r="AD150" i="5"/>
  <c r="AB150" i="5"/>
  <c r="X150" i="5"/>
  <c r="U150" i="5"/>
  <c r="Y150" i="5"/>
  <c r="AC150" i="5"/>
  <c r="X151" i="5"/>
  <c r="AB151" i="5"/>
  <c r="AA154" i="5"/>
  <c r="AD154" i="5"/>
  <c r="AB154" i="5"/>
  <c r="X154" i="5"/>
  <c r="U154" i="5"/>
  <c r="AE154" i="5" s="1"/>
  <c r="Y154" i="5"/>
  <c r="AC154" i="5"/>
  <c r="X155" i="5"/>
  <c r="AB155" i="5"/>
  <c r="AD158" i="5"/>
  <c r="AB158" i="5"/>
  <c r="X158" i="5"/>
  <c r="U158" i="5"/>
  <c r="AE158" i="5" s="1"/>
  <c r="Y158" i="5"/>
  <c r="AC158" i="5"/>
  <c r="T159" i="5"/>
  <c r="X159" i="5"/>
  <c r="AB159" i="5"/>
  <c r="AA162" i="5"/>
  <c r="AB162" i="5"/>
  <c r="AE162" i="5" s="1"/>
  <c r="X162" i="5"/>
  <c r="U162" i="5"/>
  <c r="Y162" i="5"/>
  <c r="AC162" i="5"/>
  <c r="X163" i="5"/>
  <c r="AB163" i="5"/>
  <c r="AA166" i="5"/>
  <c r="AD166" i="5"/>
  <c r="AB166" i="5"/>
  <c r="X166" i="5"/>
  <c r="U166" i="5"/>
  <c r="Y166" i="5"/>
  <c r="AC166" i="5"/>
  <c r="X167" i="5"/>
  <c r="AB167" i="5"/>
  <c r="AA170" i="5"/>
  <c r="W170" i="5"/>
  <c r="AB170" i="5"/>
  <c r="U170" i="5"/>
  <c r="Y170" i="5"/>
  <c r="AC170" i="5"/>
  <c r="X174" i="5"/>
  <c r="AB174" i="5"/>
  <c r="V179" i="5"/>
  <c r="Z179" i="5"/>
  <c r="T180" i="5"/>
  <c r="V181" i="5"/>
  <c r="Z181" i="5"/>
  <c r="U182" i="5"/>
  <c r="Y182" i="5"/>
  <c r="T184" i="5"/>
  <c r="V185" i="5"/>
  <c r="Z185" i="5"/>
  <c r="U186" i="5"/>
  <c r="Y186" i="5"/>
  <c r="R52" i="5"/>
  <c r="U53" i="5"/>
  <c r="AE53" i="5" s="1"/>
  <c r="Y53" i="5"/>
  <c r="R56" i="5"/>
  <c r="R57" i="5"/>
  <c r="R58" i="5"/>
  <c r="U59" i="5"/>
  <c r="Y59" i="5"/>
  <c r="R62" i="5"/>
  <c r="U63" i="5"/>
  <c r="Y63" i="5"/>
  <c r="R66" i="5"/>
  <c r="U67" i="5"/>
  <c r="AE67" i="5" s="1"/>
  <c r="Y67" i="5"/>
  <c r="R70" i="5"/>
  <c r="U71" i="5"/>
  <c r="Y71" i="5"/>
  <c r="R74" i="5"/>
  <c r="U75" i="5"/>
  <c r="Y75" i="5"/>
  <c r="R84" i="5"/>
  <c r="R93" i="5" s="1"/>
  <c r="U85" i="5"/>
  <c r="Y85" i="5"/>
  <c r="R88" i="5"/>
  <c r="U89" i="5"/>
  <c r="Y89" i="5"/>
  <c r="I93" i="5"/>
  <c r="I110" i="5" s="1"/>
  <c r="M93" i="5"/>
  <c r="M110" i="5" s="1"/>
  <c r="Q93" i="5"/>
  <c r="Q110" i="5" s="1"/>
  <c r="Q454" i="5" s="1"/>
  <c r="Q469" i="5" s="1"/>
  <c r="R97" i="5"/>
  <c r="U98" i="5"/>
  <c r="Y98" i="5"/>
  <c r="R101" i="5"/>
  <c r="U102" i="5"/>
  <c r="Y102" i="5"/>
  <c r="R105" i="5"/>
  <c r="H107" i="5"/>
  <c r="L107" i="5"/>
  <c r="P107" i="5"/>
  <c r="U116" i="5"/>
  <c r="Y116" i="5"/>
  <c r="R119" i="5"/>
  <c r="U120" i="5"/>
  <c r="Y120" i="5"/>
  <c r="R122" i="5"/>
  <c r="U123" i="5"/>
  <c r="Y123" i="5"/>
  <c r="R126" i="5"/>
  <c r="U127" i="5"/>
  <c r="AE127" i="5" s="1"/>
  <c r="Y127" i="5"/>
  <c r="V129" i="5"/>
  <c r="Z129" i="5"/>
  <c r="AD129" i="5"/>
  <c r="U130" i="5"/>
  <c r="Y130" i="5"/>
  <c r="AC130" i="5"/>
  <c r="AB130" i="5"/>
  <c r="U131" i="5"/>
  <c r="AE132" i="5"/>
  <c r="AD135" i="5"/>
  <c r="AA135" i="5"/>
  <c r="W135" i="5"/>
  <c r="V135" i="5"/>
  <c r="Z135" i="5"/>
  <c r="AE136" i="5"/>
  <c r="AD139" i="5"/>
  <c r="AA139" i="5"/>
  <c r="W139" i="5"/>
  <c r="V139" i="5"/>
  <c r="Z139" i="5"/>
  <c r="T140" i="5"/>
  <c r="AA146" i="5"/>
  <c r="AB146" i="5"/>
  <c r="X146" i="5"/>
  <c r="U146" i="5"/>
  <c r="Y146" i="5"/>
  <c r="AC146" i="5"/>
  <c r="U151" i="5"/>
  <c r="Y151" i="5"/>
  <c r="U155" i="5"/>
  <c r="Y155" i="5"/>
  <c r="U174" i="5"/>
  <c r="Y174" i="5"/>
  <c r="AC174" i="5"/>
  <c r="AA182" i="5"/>
  <c r="AC182" i="5"/>
  <c r="V182" i="5"/>
  <c r="Z182" i="5"/>
  <c r="AD182" i="5"/>
  <c r="AA186" i="5"/>
  <c r="AC186" i="5"/>
  <c r="V186" i="5"/>
  <c r="Z186" i="5"/>
  <c r="AD186" i="5"/>
  <c r="R49" i="5"/>
  <c r="S51" i="5"/>
  <c r="R53" i="5"/>
  <c r="R59" i="5"/>
  <c r="S61" i="5"/>
  <c r="R63" i="5"/>
  <c r="S65" i="5"/>
  <c r="R67" i="5"/>
  <c r="S69" i="5"/>
  <c r="R71" i="5"/>
  <c r="S73" i="5"/>
  <c r="R75" i="5"/>
  <c r="S77" i="5"/>
  <c r="S83" i="5"/>
  <c r="R85" i="5"/>
  <c r="S87" i="5"/>
  <c r="R89" i="5"/>
  <c r="F93" i="5"/>
  <c r="F110" i="5" s="1"/>
  <c r="S96" i="5"/>
  <c r="R98" i="5"/>
  <c r="S100" i="5"/>
  <c r="R102" i="5"/>
  <c r="R116" i="5"/>
  <c r="V116" i="5"/>
  <c r="Z116" i="5"/>
  <c r="AD116" i="5"/>
  <c r="S118" i="5"/>
  <c r="R120" i="5"/>
  <c r="W121" i="5"/>
  <c r="AA121" i="5"/>
  <c r="R123" i="5"/>
  <c r="S125" i="5"/>
  <c r="R127" i="5"/>
  <c r="W129" i="5"/>
  <c r="AA129" i="5"/>
  <c r="U129" i="5"/>
  <c r="V130" i="5"/>
  <c r="Z130" i="5"/>
  <c r="AD130" i="5"/>
  <c r="X131" i="5"/>
  <c r="S131" i="5"/>
  <c r="V131" i="5"/>
  <c r="AA142" i="5"/>
  <c r="AB142" i="5"/>
  <c r="X142" i="5"/>
  <c r="U142" i="5"/>
  <c r="Y142" i="5"/>
  <c r="AC142" i="5"/>
  <c r="T143" i="5"/>
  <c r="X143" i="5"/>
  <c r="AB143" i="5"/>
  <c r="AE150" i="5"/>
  <c r="AD151" i="5"/>
  <c r="AC151" i="5"/>
  <c r="AA151" i="5"/>
  <c r="W151" i="5"/>
  <c r="V151" i="5"/>
  <c r="Z151" i="5"/>
  <c r="AD155" i="5"/>
  <c r="AC155" i="5"/>
  <c r="AA155" i="5"/>
  <c r="W155" i="5"/>
  <c r="V155" i="5"/>
  <c r="Z155" i="5"/>
  <c r="AD159" i="5"/>
  <c r="AC159" i="5"/>
  <c r="AA159" i="5"/>
  <c r="W159" i="5"/>
  <c r="V159" i="5"/>
  <c r="Z159" i="5"/>
  <c r="AD163" i="5"/>
  <c r="AC163" i="5"/>
  <c r="AA163" i="5"/>
  <c r="W163" i="5"/>
  <c r="V163" i="5"/>
  <c r="Z163" i="5"/>
  <c r="W166" i="5"/>
  <c r="AE166" i="5" s="1"/>
  <c r="AD167" i="5"/>
  <c r="AC167" i="5"/>
  <c r="AA167" i="5"/>
  <c r="W167" i="5"/>
  <c r="V167" i="5"/>
  <c r="Z167" i="5"/>
  <c r="V171" i="5"/>
  <c r="Z171" i="5"/>
  <c r="V174" i="5"/>
  <c r="Z174" i="5"/>
  <c r="AD174" i="5"/>
  <c r="U175" i="5"/>
  <c r="Y175" i="5"/>
  <c r="AC175" i="5"/>
  <c r="AA178" i="5"/>
  <c r="AD178" i="5"/>
  <c r="U178" i="5"/>
  <c r="AE178" i="5" s="1"/>
  <c r="Y178" i="5"/>
  <c r="AC178" i="5"/>
  <c r="X179" i="5"/>
  <c r="AB179" i="5"/>
  <c r="X181" i="5"/>
  <c r="W182" i="5"/>
  <c r="X185" i="5"/>
  <c r="W186" i="5"/>
  <c r="S116" i="5"/>
  <c r="W116" i="5"/>
  <c r="AA116" i="5"/>
  <c r="X121" i="5"/>
  <c r="AA128" i="5"/>
  <c r="T129" i="5"/>
  <c r="X129" i="5"/>
  <c r="Y129" i="5"/>
  <c r="S130" i="5"/>
  <c r="W130" i="5"/>
  <c r="AA134" i="5"/>
  <c r="AB134" i="5"/>
  <c r="X134" i="5"/>
  <c r="U134" i="5"/>
  <c r="Y134" i="5"/>
  <c r="AC134" i="5"/>
  <c r="T135" i="5"/>
  <c r="X135" i="5"/>
  <c r="AB135" i="5"/>
  <c r="AA138" i="5"/>
  <c r="AB138" i="5"/>
  <c r="X138" i="5"/>
  <c r="U138" i="5"/>
  <c r="Y138" i="5"/>
  <c r="AC138" i="5"/>
  <c r="X139" i="5"/>
  <c r="AB139" i="5"/>
  <c r="V142" i="5"/>
  <c r="Z142" i="5"/>
  <c r="AD142" i="5"/>
  <c r="U143" i="5"/>
  <c r="Y143" i="5"/>
  <c r="AC143" i="5"/>
  <c r="S144" i="5"/>
  <c r="W146" i="5"/>
  <c r="AD147" i="5"/>
  <c r="AA147" i="5"/>
  <c r="W147" i="5"/>
  <c r="V147" i="5"/>
  <c r="Z147" i="5"/>
  <c r="T148" i="5"/>
  <c r="AE148" i="5" s="1"/>
  <c r="X170" i="5"/>
  <c r="W174" i="5"/>
  <c r="V175" i="5"/>
  <c r="Z175" i="5"/>
  <c r="U179" i="5"/>
  <c r="Y179" i="5"/>
  <c r="AC179" i="5"/>
  <c r="S180" i="5"/>
  <c r="AB181" i="5"/>
  <c r="AD181" i="5"/>
  <c r="U181" i="5"/>
  <c r="Y181" i="5"/>
  <c r="AC181" i="5"/>
  <c r="X182" i="5"/>
  <c r="AB182" i="5"/>
  <c r="S184" i="5"/>
  <c r="AB185" i="5"/>
  <c r="AD185" i="5"/>
  <c r="U185" i="5"/>
  <c r="Y185" i="5"/>
  <c r="AC185" i="5"/>
  <c r="X186" i="5"/>
  <c r="AB186" i="5"/>
  <c r="R132" i="5"/>
  <c r="U133" i="5"/>
  <c r="Y133" i="5"/>
  <c r="AC133" i="5"/>
  <c r="R136" i="5"/>
  <c r="U137" i="5"/>
  <c r="AE137" i="5" s="1"/>
  <c r="Y137" i="5"/>
  <c r="AC137" i="5"/>
  <c r="R140" i="5"/>
  <c r="U141" i="5"/>
  <c r="AE141" i="5" s="1"/>
  <c r="Y141" i="5"/>
  <c r="AC141" i="5"/>
  <c r="R144" i="5"/>
  <c r="U145" i="5"/>
  <c r="AE145" i="5" s="1"/>
  <c r="Y145" i="5"/>
  <c r="AC145" i="5"/>
  <c r="R148" i="5"/>
  <c r="U149" i="5"/>
  <c r="AE149" i="5" s="1"/>
  <c r="Y149" i="5"/>
  <c r="AC149" i="5"/>
  <c r="R152" i="5"/>
  <c r="U153" i="5"/>
  <c r="Y153" i="5"/>
  <c r="AC153" i="5"/>
  <c r="R156" i="5"/>
  <c r="U157" i="5"/>
  <c r="AE157" i="5" s="1"/>
  <c r="Y157" i="5"/>
  <c r="AC157" i="5"/>
  <c r="R160" i="5"/>
  <c r="U161" i="5"/>
  <c r="AE161" i="5" s="1"/>
  <c r="Y161" i="5"/>
  <c r="AC161" i="5"/>
  <c r="R164" i="5"/>
  <c r="U165" i="5"/>
  <c r="AE165" i="5" s="1"/>
  <c r="Y165" i="5"/>
  <c r="AC165" i="5"/>
  <c r="R168" i="5"/>
  <c r="U169" i="5"/>
  <c r="AE169" i="5" s="1"/>
  <c r="Y169" i="5"/>
  <c r="AC169" i="5"/>
  <c r="R172" i="5"/>
  <c r="AC173" i="5"/>
  <c r="AE173" i="5" s="1"/>
  <c r="R176" i="5"/>
  <c r="R180" i="5"/>
  <c r="S182" i="5"/>
  <c r="S183" i="5"/>
  <c r="R184" i="5"/>
  <c r="T186" i="5"/>
  <c r="S187" i="5"/>
  <c r="AE187" i="5" s="1"/>
  <c r="R188" i="5"/>
  <c r="S188" i="5"/>
  <c r="V189" i="5"/>
  <c r="Z189" i="5"/>
  <c r="AD189" i="5"/>
  <c r="AA194" i="5"/>
  <c r="AC194" i="5"/>
  <c r="V194" i="5"/>
  <c r="Z194" i="5"/>
  <c r="AD194" i="5"/>
  <c r="AB197" i="5"/>
  <c r="AD197" i="5"/>
  <c r="U197" i="5"/>
  <c r="Y197" i="5"/>
  <c r="AC197" i="5"/>
  <c r="AC211" i="5"/>
  <c r="AC245" i="5" s="1"/>
  <c r="AA211" i="5"/>
  <c r="W253" i="5"/>
  <c r="AA253" i="5"/>
  <c r="U255" i="5"/>
  <c r="Y255" i="5"/>
  <c r="AC255" i="5"/>
  <c r="X256" i="5"/>
  <c r="AB256" i="5"/>
  <c r="W257" i="5"/>
  <c r="AA257" i="5"/>
  <c r="U259" i="5"/>
  <c r="Y259" i="5"/>
  <c r="AC259" i="5"/>
  <c r="X260" i="5"/>
  <c r="AB260" i="5"/>
  <c r="U262" i="5"/>
  <c r="AE262" i="5" s="1"/>
  <c r="Y262" i="5"/>
  <c r="AC262" i="5"/>
  <c r="X263" i="5"/>
  <c r="AB263" i="5"/>
  <c r="V265" i="5"/>
  <c r="Z265" i="5"/>
  <c r="AD265" i="5"/>
  <c r="R129" i="5"/>
  <c r="R133" i="5"/>
  <c r="S135" i="5"/>
  <c r="R137" i="5"/>
  <c r="S139" i="5"/>
  <c r="R141" i="5"/>
  <c r="S143" i="5"/>
  <c r="R145" i="5"/>
  <c r="S147" i="5"/>
  <c r="R149" i="5"/>
  <c r="S151" i="5"/>
  <c r="R153" i="5"/>
  <c r="S155" i="5"/>
  <c r="R157" i="5"/>
  <c r="S159" i="5"/>
  <c r="R161" i="5"/>
  <c r="S163" i="5"/>
  <c r="R165" i="5"/>
  <c r="S167" i="5"/>
  <c r="R169" i="5"/>
  <c r="S171" i="5"/>
  <c r="R173" i="5"/>
  <c r="S175" i="5"/>
  <c r="R177" i="5"/>
  <c r="T179" i="5"/>
  <c r="AA180" i="5"/>
  <c r="R181" i="5"/>
  <c r="AB183" i="5"/>
  <c r="AA184" i="5"/>
  <c r="R185" i="5"/>
  <c r="T188" i="5"/>
  <c r="X188" i="5"/>
  <c r="AB188" i="5"/>
  <c r="R189" i="5"/>
  <c r="W189" i="5"/>
  <c r="AA189" i="5"/>
  <c r="AC190" i="5"/>
  <c r="AA190" i="5"/>
  <c r="V190" i="5"/>
  <c r="Z190" i="5"/>
  <c r="AD190" i="5"/>
  <c r="AC192" i="5"/>
  <c r="AA192" i="5"/>
  <c r="V192" i="5"/>
  <c r="Z192" i="5"/>
  <c r="AD192" i="5"/>
  <c r="X193" i="5"/>
  <c r="W194" i="5"/>
  <c r="AD195" i="5"/>
  <c r="AB195" i="5"/>
  <c r="U195" i="5"/>
  <c r="Y195" i="5"/>
  <c r="AC195" i="5"/>
  <c r="X196" i="5"/>
  <c r="AB196" i="5"/>
  <c r="V197" i="5"/>
  <c r="Z197" i="5"/>
  <c r="U198" i="5"/>
  <c r="Y198" i="5"/>
  <c r="W199" i="5"/>
  <c r="AA199" i="5"/>
  <c r="AC200" i="5"/>
  <c r="AA200" i="5"/>
  <c r="U200" i="5"/>
  <c r="Y200" i="5"/>
  <c r="AE200" i="5" s="1"/>
  <c r="BB200" i="5" s="1"/>
  <c r="BB207" i="5" s="1"/>
  <c r="BB318" i="5" s="1"/>
  <c r="BB454" i="5" s="1"/>
  <c r="BF1" i="5" s="1"/>
  <c r="BD55" i="5" s="1"/>
  <c r="BE55" i="5" s="1"/>
  <c r="BF55" i="5" s="1"/>
  <c r="BG55" i="5" s="1"/>
  <c r="W201" i="5"/>
  <c r="AA201" i="5"/>
  <c r="AA202" i="5"/>
  <c r="AC202" i="5"/>
  <c r="V202" i="5"/>
  <c r="Z202" i="5"/>
  <c r="AD202" i="5"/>
  <c r="X203" i="5"/>
  <c r="X205" i="5"/>
  <c r="AE233" i="5"/>
  <c r="AE235" i="5"/>
  <c r="U248" i="5"/>
  <c r="Y248" i="5"/>
  <c r="AC248" i="5"/>
  <c r="X249" i="5"/>
  <c r="AB249" i="5"/>
  <c r="V251" i="5"/>
  <c r="Z251" i="5"/>
  <c r="AD251" i="5"/>
  <c r="U252" i="5"/>
  <c r="Y252" i="5"/>
  <c r="AC252" i="5"/>
  <c r="X253" i="5"/>
  <c r="AB253" i="5"/>
  <c r="S254" i="5"/>
  <c r="V255" i="5"/>
  <c r="Z255" i="5"/>
  <c r="AD255" i="5"/>
  <c r="U256" i="5"/>
  <c r="Y256" i="5"/>
  <c r="AC256" i="5"/>
  <c r="X257" i="5"/>
  <c r="AB257" i="5"/>
  <c r="AA258" i="5"/>
  <c r="V259" i="5"/>
  <c r="Z259" i="5"/>
  <c r="AD259" i="5"/>
  <c r="U260" i="5"/>
  <c r="Y260" i="5"/>
  <c r="AC260" i="5"/>
  <c r="U263" i="5"/>
  <c r="Y263" i="5"/>
  <c r="AC263" i="5"/>
  <c r="U267" i="5"/>
  <c r="Y267" i="5"/>
  <c r="AC267" i="5"/>
  <c r="R130" i="5"/>
  <c r="R134" i="5"/>
  <c r="R138" i="5"/>
  <c r="R142" i="5"/>
  <c r="R146" i="5"/>
  <c r="R150" i="5"/>
  <c r="AB152" i="5"/>
  <c r="AA153" i="5"/>
  <c r="R154" i="5"/>
  <c r="AB156" i="5"/>
  <c r="AA157" i="5"/>
  <c r="R158" i="5"/>
  <c r="AB160" i="5"/>
  <c r="AA161" i="5"/>
  <c r="R162" i="5"/>
  <c r="AB164" i="5"/>
  <c r="AE164" i="5" s="1"/>
  <c r="R166" i="5"/>
  <c r="R170" i="5"/>
  <c r="AB172" i="5"/>
  <c r="R174" i="5"/>
  <c r="AB176" i="5"/>
  <c r="R178" i="5"/>
  <c r="R182" i="5"/>
  <c r="R186" i="5"/>
  <c r="T189" i="5"/>
  <c r="X189" i="5"/>
  <c r="W190" i="5"/>
  <c r="AB193" i="5"/>
  <c r="AD193" i="5"/>
  <c r="U193" i="5"/>
  <c r="Y193" i="5"/>
  <c r="AC193" i="5"/>
  <c r="X194" i="5"/>
  <c r="AB194" i="5"/>
  <c r="U196" i="5"/>
  <c r="Y196" i="5"/>
  <c r="W197" i="5"/>
  <c r="AA197" i="5"/>
  <c r="AA198" i="5"/>
  <c r="AC198" i="5"/>
  <c r="V198" i="5"/>
  <c r="Z198" i="5"/>
  <c r="AD198" i="5"/>
  <c r="X199" i="5"/>
  <c r="AD203" i="5"/>
  <c r="AB203" i="5"/>
  <c r="U203" i="5"/>
  <c r="Y203" i="5"/>
  <c r="AC203" i="5"/>
  <c r="S204" i="5"/>
  <c r="AB205" i="5"/>
  <c r="AD205" i="5"/>
  <c r="U205" i="5"/>
  <c r="Y205" i="5"/>
  <c r="AC205" i="5"/>
  <c r="U245" i="5"/>
  <c r="V248" i="5"/>
  <c r="Z248" i="5"/>
  <c r="AD248" i="5"/>
  <c r="U249" i="5"/>
  <c r="Y249" i="5"/>
  <c r="AC249" i="5"/>
  <c r="V252" i="5"/>
  <c r="Z252" i="5"/>
  <c r="AD252" i="5"/>
  <c r="U253" i="5"/>
  <c r="Y253" i="5"/>
  <c r="AC253" i="5"/>
  <c r="T254" i="5"/>
  <c r="X254" i="5"/>
  <c r="AB254" i="5"/>
  <c r="V256" i="5"/>
  <c r="Z256" i="5"/>
  <c r="AD256" i="5"/>
  <c r="U257" i="5"/>
  <c r="Y257" i="5"/>
  <c r="AC257" i="5"/>
  <c r="X258" i="5"/>
  <c r="V260" i="5"/>
  <c r="Z260" i="5"/>
  <c r="AD260" i="5"/>
  <c r="V263" i="5"/>
  <c r="Z263" i="5"/>
  <c r="AD263" i="5"/>
  <c r="X169" i="5"/>
  <c r="Y176" i="5"/>
  <c r="V188" i="5"/>
  <c r="Z188" i="5"/>
  <c r="AD188" i="5"/>
  <c r="U189" i="5"/>
  <c r="Y189" i="5"/>
  <c r="AC189" i="5"/>
  <c r="U194" i="5"/>
  <c r="Y194" i="5"/>
  <c r="AC196" i="5"/>
  <c r="AA196" i="5"/>
  <c r="V196" i="5"/>
  <c r="Z196" i="5"/>
  <c r="AD196" i="5"/>
  <c r="X197" i="5"/>
  <c r="AD199" i="5"/>
  <c r="AB199" i="5"/>
  <c r="U199" i="5"/>
  <c r="Y199" i="5"/>
  <c r="AC199" i="5"/>
  <c r="AB201" i="5"/>
  <c r="AD201" i="5"/>
  <c r="U201" i="5"/>
  <c r="Y201" i="5"/>
  <c r="AC201" i="5"/>
  <c r="T202" i="5"/>
  <c r="V203" i="5"/>
  <c r="Z203" i="5"/>
  <c r="T204" i="5"/>
  <c r="V205" i="5"/>
  <c r="Z205" i="5"/>
  <c r="U211" i="5"/>
  <c r="Y211" i="5"/>
  <c r="AE216" i="5"/>
  <c r="AE234" i="5"/>
  <c r="V249" i="5"/>
  <c r="Z249" i="5"/>
  <c r="AD249" i="5"/>
  <c r="V253" i="5"/>
  <c r="Z253" i="5"/>
  <c r="AD253" i="5"/>
  <c r="AC254" i="5"/>
  <c r="V257" i="5"/>
  <c r="Z257" i="5"/>
  <c r="AD257" i="5"/>
  <c r="Y258" i="5"/>
  <c r="AC258" i="5"/>
  <c r="X259" i="5"/>
  <c r="AB259" i="5"/>
  <c r="W260" i="5"/>
  <c r="AA260" i="5"/>
  <c r="V261" i="5"/>
  <c r="Z261" i="5"/>
  <c r="AD261" i="5"/>
  <c r="X262" i="5"/>
  <c r="AB262" i="5"/>
  <c r="W263" i="5"/>
  <c r="AA263" i="5"/>
  <c r="V264" i="5"/>
  <c r="Z264" i="5"/>
  <c r="AD264" i="5"/>
  <c r="U265" i="5"/>
  <c r="Y265" i="5"/>
  <c r="AC265" i="5"/>
  <c r="T266" i="5"/>
  <c r="W267" i="5"/>
  <c r="AA267" i="5"/>
  <c r="S189" i="5"/>
  <c r="R190" i="5"/>
  <c r="S191" i="5"/>
  <c r="AE191" i="5" s="1"/>
  <c r="R192" i="5"/>
  <c r="S194" i="5"/>
  <c r="S195" i="5"/>
  <c r="R196" i="5"/>
  <c r="T198" i="5"/>
  <c r="S199" i="5"/>
  <c r="R200" i="5"/>
  <c r="S202" i="5"/>
  <c r="S203" i="5"/>
  <c r="R204" i="5"/>
  <c r="S210" i="5"/>
  <c r="W210" i="5"/>
  <c r="AA210" i="5"/>
  <c r="R211" i="5"/>
  <c r="V211" i="5"/>
  <c r="Z211" i="5"/>
  <c r="AD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V238" i="5"/>
  <c r="Z238" i="5"/>
  <c r="AD238" i="5"/>
  <c r="R239" i="5"/>
  <c r="R240" i="5"/>
  <c r="R241" i="5"/>
  <c r="R242" i="5"/>
  <c r="R243" i="5"/>
  <c r="H245" i="5"/>
  <c r="L245" i="5"/>
  <c r="S248" i="5"/>
  <c r="R249" i="5"/>
  <c r="AC250" i="5"/>
  <c r="Y250" i="5"/>
  <c r="S251" i="5"/>
  <c r="R253" i="5"/>
  <c r="V254" i="5"/>
  <c r="R257" i="5"/>
  <c r="V258" i="5"/>
  <c r="S259" i="5"/>
  <c r="R261" i="5"/>
  <c r="T263" i="5"/>
  <c r="R265" i="5"/>
  <c r="Y266" i="5"/>
  <c r="X267" i="5"/>
  <c r="AB267" i="5"/>
  <c r="AC270" i="5"/>
  <c r="X271" i="5"/>
  <c r="AB271" i="5"/>
  <c r="W272" i="5"/>
  <c r="AR272" i="5" s="1"/>
  <c r="AA272" i="5"/>
  <c r="AV272" i="5" s="1"/>
  <c r="U273" i="5"/>
  <c r="AP273" i="5" s="1"/>
  <c r="Y273" i="5"/>
  <c r="AT273" i="5" s="1"/>
  <c r="AC273" i="5"/>
  <c r="AX273" i="5" s="1"/>
  <c r="S274" i="5"/>
  <c r="W274" i="5"/>
  <c r="AR274" i="5" s="1"/>
  <c r="U275" i="5"/>
  <c r="AP275" i="5" s="1"/>
  <c r="Y275" i="5"/>
  <c r="AT275" i="5" s="1"/>
  <c r="AC275" i="5"/>
  <c r="AX275" i="5" s="1"/>
  <c r="T276" i="5"/>
  <c r="AS276" i="5"/>
  <c r="AS282" i="5"/>
  <c r="AW282" i="5"/>
  <c r="V278" i="5"/>
  <c r="Z278" i="5"/>
  <c r="AD278" i="5"/>
  <c r="U279" i="5"/>
  <c r="AP279" i="5" s="1"/>
  <c r="Y279" i="5"/>
  <c r="AT279" i="5" s="1"/>
  <c r="AC279" i="5"/>
  <c r="AX279" i="5" s="1"/>
  <c r="S280" i="5"/>
  <c r="V281" i="5"/>
  <c r="AQ281" i="5" s="1"/>
  <c r="Z281" i="5"/>
  <c r="AU281" i="5" s="1"/>
  <c r="AD281" i="5"/>
  <c r="AY281" i="5" s="1"/>
  <c r="U282" i="5"/>
  <c r="Y282" i="5"/>
  <c r="AC282" i="5"/>
  <c r="V284" i="5"/>
  <c r="AQ284" i="5" s="1"/>
  <c r="Z284" i="5"/>
  <c r="AU284" i="5" s="1"/>
  <c r="AD284" i="5"/>
  <c r="AY284" i="5" s="1"/>
  <c r="U285" i="5"/>
  <c r="AP285" i="5" s="1"/>
  <c r="R193" i="5"/>
  <c r="R197" i="5"/>
  <c r="R201" i="5"/>
  <c r="AA204" i="5"/>
  <c r="R205" i="5"/>
  <c r="W211" i="5"/>
  <c r="AA212" i="5"/>
  <c r="AA213" i="5"/>
  <c r="AA214" i="5"/>
  <c r="AE214" i="5" s="1"/>
  <c r="AA215" i="5"/>
  <c r="AA218" i="5"/>
  <c r="AA219" i="5"/>
  <c r="AA220" i="5"/>
  <c r="AA221" i="5"/>
  <c r="AA222" i="5"/>
  <c r="AA223" i="5"/>
  <c r="AA225" i="5"/>
  <c r="AA226" i="5"/>
  <c r="AA227" i="5"/>
  <c r="AA228" i="5"/>
  <c r="AA230" i="5"/>
  <c r="AA231" i="5"/>
  <c r="S238" i="5"/>
  <c r="W238" i="5"/>
  <c r="AA238" i="5"/>
  <c r="T248" i="5"/>
  <c r="R250" i="5"/>
  <c r="Z250" i="5"/>
  <c r="T252" i="5"/>
  <c r="R254" i="5"/>
  <c r="T256" i="5"/>
  <c r="R258" i="5"/>
  <c r="T260" i="5"/>
  <c r="R262" i="5"/>
  <c r="T264" i="5"/>
  <c r="R266" i="5"/>
  <c r="T267" i="5"/>
  <c r="X272" i="5"/>
  <c r="AS272" i="5" s="1"/>
  <c r="AB272" i="5"/>
  <c r="AW272" i="5" s="1"/>
  <c r="V273" i="5"/>
  <c r="AQ273" i="5" s="1"/>
  <c r="Z273" i="5"/>
  <c r="AU273" i="5" s="1"/>
  <c r="AD273" i="5"/>
  <c r="AY273" i="5" s="1"/>
  <c r="T274" i="5"/>
  <c r="AO274" i="5" s="1"/>
  <c r="V275" i="5"/>
  <c r="AQ275" i="5" s="1"/>
  <c r="Z275" i="5"/>
  <c r="AU275" i="5" s="1"/>
  <c r="AD275" i="5"/>
  <c r="AY275" i="5" s="1"/>
  <c r="AP282" i="5"/>
  <c r="AP276" i="5"/>
  <c r="V279" i="5"/>
  <c r="AQ279" i="5" s="1"/>
  <c r="Z279" i="5"/>
  <c r="AU279" i="5" s="1"/>
  <c r="AD279" i="5"/>
  <c r="AY279" i="5" s="1"/>
  <c r="W281" i="5"/>
  <c r="AR281" i="5" s="1"/>
  <c r="AA281" i="5"/>
  <c r="AV281" i="5" s="1"/>
  <c r="V282" i="5"/>
  <c r="Z282" i="5"/>
  <c r="AD282" i="5"/>
  <c r="S284" i="5"/>
  <c r="V285" i="5"/>
  <c r="AQ285" i="5" s="1"/>
  <c r="Z285" i="5"/>
  <c r="AU285" i="5" s="1"/>
  <c r="AD285" i="5"/>
  <c r="AY285" i="5" s="1"/>
  <c r="T190" i="5"/>
  <c r="S192" i="5"/>
  <c r="R194" i="5"/>
  <c r="S196" i="5"/>
  <c r="R198" i="5"/>
  <c r="R202" i="5"/>
  <c r="U210" i="5"/>
  <c r="Y210" i="5"/>
  <c r="T211" i="5"/>
  <c r="T245" i="5" s="1"/>
  <c r="X211" i="5"/>
  <c r="X245" i="5" s="1"/>
  <c r="AB211" i="5"/>
  <c r="X238" i="5"/>
  <c r="AB238" i="5"/>
  <c r="S250" i="5"/>
  <c r="W250" i="5"/>
  <c r="R251" i="5"/>
  <c r="T253" i="5"/>
  <c r="R255" i="5"/>
  <c r="T257" i="5"/>
  <c r="R259" i="5"/>
  <c r="T261" i="5"/>
  <c r="R263" i="5"/>
  <c r="T265" i="5"/>
  <c r="V267" i="5"/>
  <c r="Z267" i="5"/>
  <c r="AD267" i="5"/>
  <c r="U268" i="5"/>
  <c r="Y268" i="5"/>
  <c r="AC268" i="5"/>
  <c r="T269" i="5"/>
  <c r="S270" i="5"/>
  <c r="W270" i="5"/>
  <c r="V271" i="5"/>
  <c r="Z271" i="5"/>
  <c r="AD271" i="5"/>
  <c r="U272" i="5"/>
  <c r="AP272" i="5" s="1"/>
  <c r="Y272" i="5"/>
  <c r="AT272" i="5" s="1"/>
  <c r="AC272" i="5"/>
  <c r="AX272" i="5" s="1"/>
  <c r="W273" i="5"/>
  <c r="AR273" i="5" s="1"/>
  <c r="AA273" i="5"/>
  <c r="AV273" i="5" s="1"/>
  <c r="Y274" i="5"/>
  <c r="AT274" i="5" s="1"/>
  <c r="W275" i="5"/>
  <c r="AR275" i="5" s="1"/>
  <c r="AA275" i="5"/>
  <c r="AV275" i="5" s="1"/>
  <c r="V276" i="5"/>
  <c r="Z276" i="5"/>
  <c r="AD276" i="5"/>
  <c r="U277" i="5"/>
  <c r="AP277" i="5" s="1"/>
  <c r="Y277" i="5"/>
  <c r="AT277" i="5" s="1"/>
  <c r="AC277" i="5"/>
  <c r="AX277" i="5" s="1"/>
  <c r="X278" i="5"/>
  <c r="AB278" i="5"/>
  <c r="W279" i="5"/>
  <c r="AR279" i="5" s="1"/>
  <c r="AA279" i="5"/>
  <c r="AV279" i="5" s="1"/>
  <c r="X281" i="5"/>
  <c r="AS281" i="5" s="1"/>
  <c r="AB281" i="5"/>
  <c r="AW281" i="5" s="1"/>
  <c r="W282" i="5"/>
  <c r="AA282" i="5"/>
  <c r="U283" i="5"/>
  <c r="AP283" i="5" s="1"/>
  <c r="Y283" i="5"/>
  <c r="AT283" i="5" s="1"/>
  <c r="AC283" i="5"/>
  <c r="AX283" i="5" s="1"/>
  <c r="X284" i="5"/>
  <c r="AS284" i="5" s="1"/>
  <c r="AB284" i="5"/>
  <c r="AW284" i="5" s="1"/>
  <c r="S285" i="5"/>
  <c r="W285" i="5"/>
  <c r="AR285" i="5" s="1"/>
  <c r="AA285" i="5"/>
  <c r="AV285" i="5" s="1"/>
  <c r="U238" i="5"/>
  <c r="Y238" i="5"/>
  <c r="T250" i="5"/>
  <c r="X250" i="5"/>
  <c r="AB250" i="5"/>
  <c r="V268" i="5"/>
  <c r="Z268" i="5"/>
  <c r="AD268" i="5"/>
  <c r="T270" i="5"/>
  <c r="X270" i="5"/>
  <c r="AB270" i="5"/>
  <c r="V272" i="5"/>
  <c r="AQ272" i="5" s="1"/>
  <c r="Z272" i="5"/>
  <c r="AU272" i="5" s="1"/>
  <c r="AD272" i="5"/>
  <c r="AY272" i="5" s="1"/>
  <c r="X273" i="5"/>
  <c r="AS273" i="5" s="1"/>
  <c r="AB273" i="5"/>
  <c r="AW273" i="5" s="1"/>
  <c r="X275" i="5"/>
  <c r="AS275" i="5" s="1"/>
  <c r="AB275" i="5"/>
  <c r="AW275" i="5" s="1"/>
  <c r="W276" i="5"/>
  <c r="AA276" i="5"/>
  <c r="V277" i="5"/>
  <c r="AQ277" i="5" s="1"/>
  <c r="Z277" i="5"/>
  <c r="AU277" i="5" s="1"/>
  <c r="AD277" i="5"/>
  <c r="AY277" i="5" s="1"/>
  <c r="U278" i="5"/>
  <c r="Y278" i="5"/>
  <c r="AC278" i="5"/>
  <c r="X279" i="5"/>
  <c r="AS279" i="5" s="1"/>
  <c r="AB279" i="5"/>
  <c r="AW279" i="5" s="1"/>
  <c r="V280" i="5"/>
  <c r="AQ280" i="5" s="1"/>
  <c r="Z280" i="5"/>
  <c r="AU280" i="5" s="1"/>
  <c r="AD280" i="5"/>
  <c r="AY280" i="5" s="1"/>
  <c r="U281" i="5"/>
  <c r="AP281" i="5" s="1"/>
  <c r="Y281" i="5"/>
  <c r="AT281" i="5" s="1"/>
  <c r="AC281" i="5"/>
  <c r="AX281" i="5" s="1"/>
  <c r="X282" i="5"/>
  <c r="AB282" i="5"/>
  <c r="V283" i="5"/>
  <c r="AQ283" i="5" s="1"/>
  <c r="Z283" i="5"/>
  <c r="AU283" i="5" s="1"/>
  <c r="AD283" i="5"/>
  <c r="AY283" i="5" s="1"/>
  <c r="U284" i="5"/>
  <c r="AP284" i="5" s="1"/>
  <c r="Y284" i="5"/>
  <c r="AT284" i="5" s="1"/>
  <c r="AC284" i="5"/>
  <c r="AX284" i="5" s="1"/>
  <c r="X285" i="5"/>
  <c r="AS285" i="5" s="1"/>
  <c r="R268" i="5"/>
  <c r="V269" i="5"/>
  <c r="Y270" i="5"/>
  <c r="S271" i="5"/>
  <c r="R273" i="5"/>
  <c r="S275" i="5"/>
  <c r="S276" i="5"/>
  <c r="S278" i="5"/>
  <c r="R280" i="5"/>
  <c r="R281" i="5"/>
  <c r="R282" i="5"/>
  <c r="R283" i="5"/>
  <c r="R284" i="5"/>
  <c r="R285" i="5"/>
  <c r="T286" i="5"/>
  <c r="AO286" i="5" s="1"/>
  <c r="V287" i="5"/>
  <c r="AQ287" i="5" s="1"/>
  <c r="Z287" i="5"/>
  <c r="AU287" i="5" s="1"/>
  <c r="AD287" i="5"/>
  <c r="AY287" i="5" s="1"/>
  <c r="Y288" i="5"/>
  <c r="AT288" i="5" s="1"/>
  <c r="AC288" i="5"/>
  <c r="AX288" i="5" s="1"/>
  <c r="W289" i="5"/>
  <c r="AR289" i="5" s="1"/>
  <c r="AA289" i="5"/>
  <c r="AV289" i="5" s="1"/>
  <c r="V290" i="5"/>
  <c r="AQ290" i="5" s="1"/>
  <c r="Z290" i="5"/>
  <c r="AU290" i="5" s="1"/>
  <c r="AD290" i="5"/>
  <c r="AY290" i="5" s="1"/>
  <c r="U291" i="5"/>
  <c r="AP291" i="5" s="1"/>
  <c r="Y291" i="5"/>
  <c r="AT291" i="5" s="1"/>
  <c r="AC291" i="5"/>
  <c r="AX291" i="5" s="1"/>
  <c r="X292" i="5"/>
  <c r="AS292" i="5" s="1"/>
  <c r="AB292" i="5"/>
  <c r="AW292" i="5" s="1"/>
  <c r="V293" i="5"/>
  <c r="Z293" i="5"/>
  <c r="AD293" i="5"/>
  <c r="U294" i="5"/>
  <c r="Y294" i="5"/>
  <c r="AC294" i="5"/>
  <c r="X295" i="5"/>
  <c r="AB295" i="5"/>
  <c r="U297" i="5"/>
  <c r="Y297" i="5"/>
  <c r="AC297" i="5"/>
  <c r="T298" i="5"/>
  <c r="X298" i="5"/>
  <c r="AB298" i="5"/>
  <c r="U301" i="5"/>
  <c r="Y301" i="5"/>
  <c r="AC301" i="5"/>
  <c r="R269" i="5"/>
  <c r="R270" i="5"/>
  <c r="T272" i="5"/>
  <c r="AO272" i="5" s="1"/>
  <c r="R274" i="5"/>
  <c r="T279" i="5"/>
  <c r="AO279" i="5" s="1"/>
  <c r="AB285" i="5"/>
  <c r="AW285" i="5" s="1"/>
  <c r="AN287" i="5"/>
  <c r="AR287" i="5"/>
  <c r="AV287" i="5"/>
  <c r="V288" i="5"/>
  <c r="AQ288" i="5" s="1"/>
  <c r="V291" i="5"/>
  <c r="AQ291" i="5" s="1"/>
  <c r="Z291" i="5"/>
  <c r="AU291" i="5" s="1"/>
  <c r="AD291" i="5"/>
  <c r="AY291" i="5" s="1"/>
  <c r="U292" i="5"/>
  <c r="AP292" i="5" s="1"/>
  <c r="Y292" i="5"/>
  <c r="AT292" i="5" s="1"/>
  <c r="AC292" i="5"/>
  <c r="AX292" i="5" s="1"/>
  <c r="V294" i="5"/>
  <c r="Z294" i="5"/>
  <c r="AD294" i="5"/>
  <c r="U295" i="5"/>
  <c r="Y295" i="5"/>
  <c r="AC295" i="5"/>
  <c r="AE296" i="5"/>
  <c r="V297" i="5"/>
  <c r="Z297" i="5"/>
  <c r="AD297" i="5"/>
  <c r="U298" i="5"/>
  <c r="Y298" i="5"/>
  <c r="AC298" i="5"/>
  <c r="V301" i="5"/>
  <c r="Z301" i="5"/>
  <c r="AD301" i="5"/>
  <c r="T268" i="5"/>
  <c r="R271" i="5"/>
  <c r="T273" i="5"/>
  <c r="AO273" i="5" s="1"/>
  <c r="R275" i="5"/>
  <c r="R276" i="5"/>
  <c r="R277" i="5"/>
  <c r="R278" i="5"/>
  <c r="T280" i="5"/>
  <c r="AO280" i="5" s="1"/>
  <c r="S281" i="5"/>
  <c r="S282" i="5"/>
  <c r="T284" i="5"/>
  <c r="AO284" i="5" s="1"/>
  <c r="T285" i="5"/>
  <c r="AO285" i="5" s="1"/>
  <c r="Y285" i="5"/>
  <c r="AT285" i="5" s="1"/>
  <c r="AC285" i="5"/>
  <c r="AX285" i="5" s="1"/>
  <c r="AO287" i="5"/>
  <c r="X287" i="5"/>
  <c r="AS287" i="5" s="1"/>
  <c r="AB287" i="5"/>
  <c r="AW287" i="5" s="1"/>
  <c r="S288" i="5"/>
  <c r="AA288" i="5"/>
  <c r="AV288" i="5" s="1"/>
  <c r="U289" i="5"/>
  <c r="AP289" i="5" s="1"/>
  <c r="Y289" i="5"/>
  <c r="AT289" i="5" s="1"/>
  <c r="AC289" i="5"/>
  <c r="AX289" i="5" s="1"/>
  <c r="W291" i="5"/>
  <c r="AR291" i="5" s="1"/>
  <c r="AA291" i="5"/>
  <c r="AV291" i="5" s="1"/>
  <c r="V292" i="5"/>
  <c r="AQ292" i="5" s="1"/>
  <c r="Z292" i="5"/>
  <c r="AU292" i="5" s="1"/>
  <c r="AD292" i="5"/>
  <c r="AY292" i="5" s="1"/>
  <c r="X293" i="5"/>
  <c r="AB293" i="5"/>
  <c r="W294" i="5"/>
  <c r="AA294" i="5"/>
  <c r="V295" i="5"/>
  <c r="Z295" i="5"/>
  <c r="AD295" i="5"/>
  <c r="V298" i="5"/>
  <c r="Z298" i="5"/>
  <c r="AD298" i="5"/>
  <c r="U299" i="5"/>
  <c r="Y299" i="5"/>
  <c r="AC299" i="5"/>
  <c r="T300" i="5"/>
  <c r="W301" i="5"/>
  <c r="AA301" i="5"/>
  <c r="AN286" i="5"/>
  <c r="U287" i="5"/>
  <c r="AP287" i="5" s="1"/>
  <c r="Y287" i="5"/>
  <c r="AT287" i="5" s="1"/>
  <c r="AC287" i="5"/>
  <c r="AX287" i="5" s="1"/>
  <c r="T288" i="5"/>
  <c r="AO288" i="5" s="1"/>
  <c r="X288" i="5"/>
  <c r="AS288" i="5" s="1"/>
  <c r="V289" i="5"/>
  <c r="AQ289" i="5" s="1"/>
  <c r="Z289" i="5"/>
  <c r="AU289" i="5" s="1"/>
  <c r="AD289" i="5"/>
  <c r="AY289" i="5" s="1"/>
  <c r="X291" i="5"/>
  <c r="AS291" i="5" s="1"/>
  <c r="AB291" i="5"/>
  <c r="AW291" i="5" s="1"/>
  <c r="S292" i="5"/>
  <c r="W292" i="5"/>
  <c r="AR292" i="5" s="1"/>
  <c r="AA292" i="5"/>
  <c r="AV292" i="5" s="1"/>
  <c r="U293" i="5"/>
  <c r="Y293" i="5"/>
  <c r="AC293" i="5"/>
  <c r="X294" i="5"/>
  <c r="AB294" i="5"/>
  <c r="W295" i="5"/>
  <c r="AA295" i="5"/>
  <c r="X297" i="5"/>
  <c r="AB297" i="5"/>
  <c r="W298" i="5"/>
  <c r="AA298" i="5"/>
  <c r="V299" i="5"/>
  <c r="Z299" i="5"/>
  <c r="AD299" i="5"/>
  <c r="X301" i="5"/>
  <c r="AB301" i="5"/>
  <c r="AB286" i="5"/>
  <c r="AW286" i="5" s="1"/>
  <c r="U288" i="5"/>
  <c r="AP288" i="5" s="1"/>
  <c r="S290" i="5"/>
  <c r="S291" i="5"/>
  <c r="T292" i="5"/>
  <c r="AO292" i="5" s="1"/>
  <c r="S294" i="5"/>
  <c r="R295" i="5"/>
  <c r="T297" i="5"/>
  <c r="R299" i="5"/>
  <c r="X300" i="5"/>
  <c r="T301" i="5"/>
  <c r="U306" i="5"/>
  <c r="Y306" i="5"/>
  <c r="AC306" i="5"/>
  <c r="U308" i="5"/>
  <c r="Y308" i="5"/>
  <c r="AC308" i="5"/>
  <c r="T311" i="5"/>
  <c r="V313" i="5"/>
  <c r="Z313" i="5"/>
  <c r="AD313" i="5"/>
  <c r="V327" i="5"/>
  <c r="Z327" i="5"/>
  <c r="AD327" i="5"/>
  <c r="U328" i="5"/>
  <c r="Y328" i="5"/>
  <c r="AC328" i="5"/>
  <c r="T329" i="5"/>
  <c r="AB329" i="5"/>
  <c r="V331" i="5"/>
  <c r="Z331" i="5"/>
  <c r="AD331" i="5"/>
  <c r="U332" i="5"/>
  <c r="Y332" i="5"/>
  <c r="AC332" i="5"/>
  <c r="T333" i="5"/>
  <c r="W334" i="5"/>
  <c r="AA334" i="5"/>
  <c r="X336" i="5"/>
  <c r="AB336" i="5"/>
  <c r="S337" i="5"/>
  <c r="V338" i="5"/>
  <c r="Z338" i="5"/>
  <c r="AD338" i="5"/>
  <c r="U339" i="5"/>
  <c r="Y339" i="5"/>
  <c r="AC339" i="5"/>
  <c r="V341" i="5"/>
  <c r="Z341" i="5"/>
  <c r="AD341" i="5"/>
  <c r="R286" i="5"/>
  <c r="R287" i="5"/>
  <c r="R288" i="5"/>
  <c r="T294" i="5"/>
  <c r="R296" i="5"/>
  <c r="S298" i="5"/>
  <c r="R300" i="5"/>
  <c r="R306" i="5"/>
  <c r="V306" i="5"/>
  <c r="Z306" i="5"/>
  <c r="AD306" i="5"/>
  <c r="V308" i="5"/>
  <c r="Z308" i="5"/>
  <c r="AD308" i="5"/>
  <c r="S310" i="5"/>
  <c r="X312" i="5"/>
  <c r="AB312" i="5"/>
  <c r="W313" i="5"/>
  <c r="AA313" i="5"/>
  <c r="X326" i="5"/>
  <c r="AB326" i="5"/>
  <c r="W327" i="5"/>
  <c r="AA327" i="5"/>
  <c r="V328" i="5"/>
  <c r="Z328" i="5"/>
  <c r="AD328" i="5"/>
  <c r="X330" i="5"/>
  <c r="AB330" i="5"/>
  <c r="W331" i="5"/>
  <c r="AA331" i="5"/>
  <c r="V332" i="5"/>
  <c r="Z332" i="5"/>
  <c r="AD332" i="5"/>
  <c r="X334" i="5"/>
  <c r="AB334" i="5"/>
  <c r="U336" i="5"/>
  <c r="Y336" i="5"/>
  <c r="AC336" i="5"/>
  <c r="T337" i="5"/>
  <c r="W338" i="5"/>
  <c r="AA338" i="5"/>
  <c r="V339" i="5"/>
  <c r="Z339" i="5"/>
  <c r="AD339" i="5"/>
  <c r="W341" i="5"/>
  <c r="AA341" i="5"/>
  <c r="T343" i="5"/>
  <c r="X343" i="5"/>
  <c r="AB343" i="5"/>
  <c r="W344" i="5"/>
  <c r="AA344" i="5"/>
  <c r="R289" i="5"/>
  <c r="R290" i="5"/>
  <c r="R291" i="5"/>
  <c r="R292" i="5"/>
  <c r="R293" i="5"/>
  <c r="T295" i="5"/>
  <c r="R297" i="5"/>
  <c r="R301" i="5"/>
  <c r="S306" i="5"/>
  <c r="W306" i="5"/>
  <c r="AA306" i="5"/>
  <c r="W308" i="5"/>
  <c r="AA308" i="5"/>
  <c r="V309" i="5"/>
  <c r="Z309" i="5"/>
  <c r="AD309" i="5"/>
  <c r="T310" i="5"/>
  <c r="U312" i="5"/>
  <c r="Y312" i="5"/>
  <c r="AC312" i="5"/>
  <c r="X313" i="5"/>
  <c r="AB313" i="5"/>
  <c r="U326" i="5"/>
  <c r="Y326" i="5"/>
  <c r="AC326" i="5"/>
  <c r="X327" i="5"/>
  <c r="AB327" i="5"/>
  <c r="S328" i="5"/>
  <c r="W328" i="5"/>
  <c r="AA328" i="5"/>
  <c r="U330" i="5"/>
  <c r="Y330" i="5"/>
  <c r="AC330" i="5"/>
  <c r="X331" i="5"/>
  <c r="AB331" i="5"/>
  <c r="W332" i="5"/>
  <c r="AA332" i="5"/>
  <c r="U334" i="5"/>
  <c r="Y334" i="5"/>
  <c r="AC334" i="5"/>
  <c r="V336" i="5"/>
  <c r="Z336" i="5"/>
  <c r="AD336" i="5"/>
  <c r="AC337" i="5"/>
  <c r="X338" i="5"/>
  <c r="AB338" i="5"/>
  <c r="W339" i="5"/>
  <c r="AA339" i="5"/>
  <c r="V340" i="5"/>
  <c r="Z340" i="5"/>
  <c r="AD340" i="5"/>
  <c r="X341" i="5"/>
  <c r="AB341" i="5"/>
  <c r="U343" i="5"/>
  <c r="Y343" i="5"/>
  <c r="AC343" i="5"/>
  <c r="X344" i="5"/>
  <c r="AB344" i="5"/>
  <c r="T306" i="5"/>
  <c r="X306" i="5"/>
  <c r="AB306" i="5"/>
  <c r="W307" i="5"/>
  <c r="AR307" i="5" s="1"/>
  <c r="S307" i="5"/>
  <c r="AD307" i="5"/>
  <c r="AY307" i="5" s="1"/>
  <c r="X308" i="5"/>
  <c r="AB308" i="5"/>
  <c r="S311" i="5"/>
  <c r="AE311" i="5" s="1"/>
  <c r="V312" i="5"/>
  <c r="Z312" i="5"/>
  <c r="AD312" i="5"/>
  <c r="U313" i="5"/>
  <c r="Y313" i="5"/>
  <c r="AC313" i="5"/>
  <c r="S325" i="5"/>
  <c r="W325" i="5"/>
  <c r="V326" i="5"/>
  <c r="Z326" i="5"/>
  <c r="AD326" i="5"/>
  <c r="U327" i="5"/>
  <c r="Y327" i="5"/>
  <c r="AC327" i="5"/>
  <c r="X328" i="5"/>
  <c r="AB328" i="5"/>
  <c r="S329" i="5"/>
  <c r="V330" i="5"/>
  <c r="Z330" i="5"/>
  <c r="AD330" i="5"/>
  <c r="U331" i="5"/>
  <c r="Y331" i="5"/>
  <c r="AC331" i="5"/>
  <c r="V334" i="5"/>
  <c r="Z334" i="5"/>
  <c r="AD334" i="5"/>
  <c r="T335" i="5"/>
  <c r="U338" i="5"/>
  <c r="Y338" i="5"/>
  <c r="AC338" i="5"/>
  <c r="X339" i="5"/>
  <c r="AB339" i="5"/>
  <c r="U341" i="5"/>
  <c r="Y341" i="5"/>
  <c r="AC341" i="5"/>
  <c r="AE342" i="5"/>
  <c r="V343" i="5"/>
  <c r="Z343" i="5"/>
  <c r="AD343" i="5"/>
  <c r="U344" i="5"/>
  <c r="Y344" i="5"/>
  <c r="R307" i="5"/>
  <c r="S308" i="5"/>
  <c r="T309" i="5"/>
  <c r="R310" i="5"/>
  <c r="S312" i="5"/>
  <c r="R324" i="5"/>
  <c r="V324" i="5"/>
  <c r="Z324" i="5"/>
  <c r="AD324" i="5"/>
  <c r="X325" i="5"/>
  <c r="R328" i="5"/>
  <c r="Y329" i="5"/>
  <c r="S330" i="5"/>
  <c r="S331" i="5"/>
  <c r="R332" i="5"/>
  <c r="X333" i="5"/>
  <c r="T334" i="5"/>
  <c r="S335" i="5"/>
  <c r="AE335" i="5" s="1"/>
  <c r="R336" i="5"/>
  <c r="X337" i="5"/>
  <c r="T338" i="5"/>
  <c r="S339" i="5"/>
  <c r="AE339" i="5" s="1"/>
  <c r="R340" i="5"/>
  <c r="R344" i="5"/>
  <c r="W347" i="5"/>
  <c r="AA347" i="5"/>
  <c r="U348" i="5"/>
  <c r="Y348" i="5"/>
  <c r="AC348" i="5"/>
  <c r="T349" i="5"/>
  <c r="W350" i="5"/>
  <c r="AA350" i="5"/>
  <c r="V351" i="5"/>
  <c r="Z351" i="5"/>
  <c r="AD351" i="5"/>
  <c r="U352" i="5"/>
  <c r="Y352" i="5"/>
  <c r="AC352" i="5"/>
  <c r="T353" i="5"/>
  <c r="W354" i="5"/>
  <c r="AA354" i="5"/>
  <c r="V355" i="5"/>
  <c r="Z355" i="5"/>
  <c r="AD355" i="5"/>
  <c r="AD359" i="5"/>
  <c r="Z359" i="5"/>
  <c r="V359" i="5"/>
  <c r="AC359" i="5"/>
  <c r="Y359" i="5"/>
  <c r="U359" i="5"/>
  <c r="AB359" i="5"/>
  <c r="X359" i="5"/>
  <c r="AA359" i="5"/>
  <c r="W359" i="5"/>
  <c r="AD363" i="5"/>
  <c r="Z363" i="5"/>
  <c r="V363" i="5"/>
  <c r="AC363" i="5"/>
  <c r="Y363" i="5"/>
  <c r="U363" i="5"/>
  <c r="AB363" i="5"/>
  <c r="X363" i="5"/>
  <c r="AA363" i="5"/>
  <c r="W363" i="5"/>
  <c r="AD367" i="5"/>
  <c r="Z367" i="5"/>
  <c r="V367" i="5"/>
  <c r="AC367" i="5"/>
  <c r="Y367" i="5"/>
  <c r="U367" i="5"/>
  <c r="AB367" i="5"/>
  <c r="X367" i="5"/>
  <c r="AA367" i="5"/>
  <c r="W367" i="5"/>
  <c r="AD371" i="5"/>
  <c r="Z371" i="5"/>
  <c r="V371" i="5"/>
  <c r="AC371" i="5"/>
  <c r="Y371" i="5"/>
  <c r="U371" i="5"/>
  <c r="AB371" i="5"/>
  <c r="X371" i="5"/>
  <c r="AA371" i="5"/>
  <c r="W371" i="5"/>
  <c r="AD375" i="5"/>
  <c r="Z375" i="5"/>
  <c r="V375" i="5"/>
  <c r="AC375" i="5"/>
  <c r="Y375" i="5"/>
  <c r="U375" i="5"/>
  <c r="AB375" i="5"/>
  <c r="X375" i="5"/>
  <c r="AA375" i="5"/>
  <c r="W375" i="5"/>
  <c r="AD379" i="5"/>
  <c r="Z379" i="5"/>
  <c r="V379" i="5"/>
  <c r="AC379" i="5"/>
  <c r="Y379" i="5"/>
  <c r="U379" i="5"/>
  <c r="AB379" i="5"/>
  <c r="X379" i="5"/>
  <c r="AA379" i="5"/>
  <c r="W379" i="5"/>
  <c r="R311" i="5"/>
  <c r="S313" i="5"/>
  <c r="W324" i="5"/>
  <c r="AA324" i="5"/>
  <c r="R325" i="5"/>
  <c r="T327" i="5"/>
  <c r="R329" i="5"/>
  <c r="T331" i="5"/>
  <c r="R333" i="5"/>
  <c r="R337" i="5"/>
  <c r="T339" i="5"/>
  <c r="R341" i="5"/>
  <c r="S343" i="5"/>
  <c r="T345" i="5"/>
  <c r="X347" i="5"/>
  <c r="AB347" i="5"/>
  <c r="V352" i="5"/>
  <c r="Z352" i="5"/>
  <c r="AD352" i="5"/>
  <c r="AB354" i="5"/>
  <c r="AD356" i="5"/>
  <c r="Z356" i="5"/>
  <c r="V356" i="5"/>
  <c r="AC356" i="5"/>
  <c r="Y356" i="5"/>
  <c r="U356" i="5"/>
  <c r="AB356" i="5"/>
  <c r="X356" i="5"/>
  <c r="AA356" i="5"/>
  <c r="W356" i="5"/>
  <c r="AD360" i="5"/>
  <c r="Z360" i="5"/>
  <c r="V360" i="5"/>
  <c r="AC360" i="5"/>
  <c r="Y360" i="5"/>
  <c r="U360" i="5"/>
  <c r="AB360" i="5"/>
  <c r="X360" i="5"/>
  <c r="AA360" i="5"/>
  <c r="W360" i="5"/>
  <c r="AD364" i="5"/>
  <c r="Z364" i="5"/>
  <c r="V364" i="5"/>
  <c r="AC364" i="5"/>
  <c r="Y364" i="5"/>
  <c r="U364" i="5"/>
  <c r="AB364" i="5"/>
  <c r="X364" i="5"/>
  <c r="AA364" i="5"/>
  <c r="W364" i="5"/>
  <c r="AD368" i="5"/>
  <c r="Z368" i="5"/>
  <c r="V368" i="5"/>
  <c r="AC368" i="5"/>
  <c r="Y368" i="5"/>
  <c r="U368" i="5"/>
  <c r="AB368" i="5"/>
  <c r="X368" i="5"/>
  <c r="AA368" i="5"/>
  <c r="W368" i="5"/>
  <c r="AD372" i="5"/>
  <c r="Z372" i="5"/>
  <c r="V372" i="5"/>
  <c r="AC372" i="5"/>
  <c r="Y372" i="5"/>
  <c r="U372" i="5"/>
  <c r="AB372" i="5"/>
  <c r="X372" i="5"/>
  <c r="AA372" i="5"/>
  <c r="W372" i="5"/>
  <c r="AD376" i="5"/>
  <c r="Z376" i="5"/>
  <c r="V376" i="5"/>
  <c r="AC376" i="5"/>
  <c r="Y376" i="5"/>
  <c r="U376" i="5"/>
  <c r="AB376" i="5"/>
  <c r="X376" i="5"/>
  <c r="AA376" i="5"/>
  <c r="W376" i="5"/>
  <c r="AC380" i="5"/>
  <c r="Z380" i="5"/>
  <c r="V380" i="5"/>
  <c r="AD380" i="5"/>
  <c r="Y380" i="5"/>
  <c r="U380" i="5"/>
  <c r="AB380" i="5"/>
  <c r="X380" i="5"/>
  <c r="AA380" i="5"/>
  <c r="W380" i="5"/>
  <c r="R309" i="5"/>
  <c r="R312" i="5"/>
  <c r="T324" i="5"/>
  <c r="X324" i="5"/>
  <c r="AB324" i="5"/>
  <c r="R326" i="5"/>
  <c r="T328" i="5"/>
  <c r="R330" i="5"/>
  <c r="S332" i="5"/>
  <c r="R334" i="5"/>
  <c r="R338" i="5"/>
  <c r="T340" i="5"/>
  <c r="R342" i="5"/>
  <c r="T344" i="5"/>
  <c r="AC344" i="5"/>
  <c r="AA345" i="5"/>
  <c r="V346" i="5"/>
  <c r="Z346" i="5"/>
  <c r="AD346" i="5"/>
  <c r="U347" i="5"/>
  <c r="Y347" i="5"/>
  <c r="AC347" i="5"/>
  <c r="W348" i="5"/>
  <c r="AA348" i="5"/>
  <c r="U350" i="5"/>
  <c r="Y350" i="5"/>
  <c r="AC350" i="5"/>
  <c r="X351" i="5"/>
  <c r="AB351" i="5"/>
  <c r="S352" i="5"/>
  <c r="W352" i="5"/>
  <c r="AA352" i="5"/>
  <c r="Z353" i="5"/>
  <c r="U354" i="5"/>
  <c r="Y354" i="5"/>
  <c r="AC354" i="5"/>
  <c r="X355" i="5"/>
  <c r="AB355" i="5"/>
  <c r="AD357" i="5"/>
  <c r="Z357" i="5"/>
  <c r="V357" i="5"/>
  <c r="AC357" i="5"/>
  <c r="Y357" i="5"/>
  <c r="U357" i="5"/>
  <c r="AB357" i="5"/>
  <c r="X357" i="5"/>
  <c r="AA357" i="5"/>
  <c r="W357" i="5"/>
  <c r="AD361" i="5"/>
  <c r="Z361" i="5"/>
  <c r="V361" i="5"/>
  <c r="AC361" i="5"/>
  <c r="Y361" i="5"/>
  <c r="U361" i="5"/>
  <c r="AB361" i="5"/>
  <c r="X361" i="5"/>
  <c r="AA361" i="5"/>
  <c r="W361" i="5"/>
  <c r="AD365" i="5"/>
  <c r="Z365" i="5"/>
  <c r="V365" i="5"/>
  <c r="AC365" i="5"/>
  <c r="Y365" i="5"/>
  <c r="U365" i="5"/>
  <c r="AB365" i="5"/>
  <c r="X365" i="5"/>
  <c r="AA365" i="5"/>
  <c r="W365" i="5"/>
  <c r="AD369" i="5"/>
  <c r="Z369" i="5"/>
  <c r="V369" i="5"/>
  <c r="AC369" i="5"/>
  <c r="Y369" i="5"/>
  <c r="U369" i="5"/>
  <c r="AB369" i="5"/>
  <c r="X369" i="5"/>
  <c r="AA369" i="5"/>
  <c r="W369" i="5"/>
  <c r="AD373" i="5"/>
  <c r="Z373" i="5"/>
  <c r="V373" i="5"/>
  <c r="AC373" i="5"/>
  <c r="Y373" i="5"/>
  <c r="U373" i="5"/>
  <c r="AB373" i="5"/>
  <c r="X373" i="5"/>
  <c r="AA373" i="5"/>
  <c r="W373" i="5"/>
  <c r="AD377" i="5"/>
  <c r="Z377" i="5"/>
  <c r="V377" i="5"/>
  <c r="AC377" i="5"/>
  <c r="Y377" i="5"/>
  <c r="U377" i="5"/>
  <c r="AB377" i="5"/>
  <c r="X377" i="5"/>
  <c r="AA377" i="5"/>
  <c r="W377" i="5"/>
  <c r="U324" i="5"/>
  <c r="Y324" i="5"/>
  <c r="AC324" i="5"/>
  <c r="V344" i="5"/>
  <c r="Z344" i="5"/>
  <c r="AD344" i="5"/>
  <c r="AB345" i="5"/>
  <c r="V347" i="5"/>
  <c r="Z347" i="5"/>
  <c r="AD347" i="5"/>
  <c r="V350" i="5"/>
  <c r="Z350" i="5"/>
  <c r="AD350" i="5"/>
  <c r="X352" i="5"/>
  <c r="AB352" i="5"/>
  <c r="AA353" i="5"/>
  <c r="V354" i="5"/>
  <c r="Z354" i="5"/>
  <c r="AD354" i="5"/>
  <c r="AD358" i="5"/>
  <c r="Z358" i="5"/>
  <c r="V358" i="5"/>
  <c r="AC358" i="5"/>
  <c r="Y358" i="5"/>
  <c r="U358" i="5"/>
  <c r="AB358" i="5"/>
  <c r="X358" i="5"/>
  <c r="AA358" i="5"/>
  <c r="W358" i="5"/>
  <c r="AD362" i="5"/>
  <c r="Z362" i="5"/>
  <c r="V362" i="5"/>
  <c r="AC362" i="5"/>
  <c r="Y362" i="5"/>
  <c r="U362" i="5"/>
  <c r="AB362" i="5"/>
  <c r="X362" i="5"/>
  <c r="AA362" i="5"/>
  <c r="W362" i="5"/>
  <c r="AD366" i="5"/>
  <c r="Z366" i="5"/>
  <c r="V366" i="5"/>
  <c r="AC366" i="5"/>
  <c r="Y366" i="5"/>
  <c r="U366" i="5"/>
  <c r="AB366" i="5"/>
  <c r="X366" i="5"/>
  <c r="AA366" i="5"/>
  <c r="W366" i="5"/>
  <c r="AD370" i="5"/>
  <c r="Z370" i="5"/>
  <c r="V370" i="5"/>
  <c r="AC370" i="5"/>
  <c r="Y370" i="5"/>
  <c r="U370" i="5"/>
  <c r="AB370" i="5"/>
  <c r="X370" i="5"/>
  <c r="AA370" i="5"/>
  <c r="W370" i="5"/>
  <c r="AD374" i="5"/>
  <c r="Z374" i="5"/>
  <c r="V374" i="5"/>
  <c r="AC374" i="5"/>
  <c r="Y374" i="5"/>
  <c r="U374" i="5"/>
  <c r="AB374" i="5"/>
  <c r="X374" i="5"/>
  <c r="AA374" i="5"/>
  <c r="W374" i="5"/>
  <c r="AD378" i="5"/>
  <c r="Z378" i="5"/>
  <c r="V378" i="5"/>
  <c r="AC378" i="5"/>
  <c r="Y378" i="5"/>
  <c r="U378" i="5"/>
  <c r="AB378" i="5"/>
  <c r="X378" i="5"/>
  <c r="AA378" i="5"/>
  <c r="W378" i="5"/>
  <c r="S346" i="5"/>
  <c r="R348" i="5"/>
  <c r="Y349" i="5"/>
  <c r="T350" i="5"/>
  <c r="R352" i="5"/>
  <c r="AC353" i="5"/>
  <c r="T354" i="5"/>
  <c r="R345" i="5"/>
  <c r="T347" i="5"/>
  <c r="R349" i="5"/>
  <c r="T351" i="5"/>
  <c r="R353" i="5"/>
  <c r="T355" i="5"/>
  <c r="V387" i="5"/>
  <c r="Z387" i="5"/>
  <c r="AD387" i="5"/>
  <c r="X388" i="5"/>
  <c r="S389" i="5"/>
  <c r="V390" i="5"/>
  <c r="Z390" i="5"/>
  <c r="T391" i="5"/>
  <c r="R346" i="5"/>
  <c r="R350" i="5"/>
  <c r="T352" i="5"/>
  <c r="R354" i="5"/>
  <c r="T381" i="5"/>
  <c r="T382" i="5"/>
  <c r="T383" i="5"/>
  <c r="T384" i="5"/>
  <c r="T385" i="5"/>
  <c r="T386" i="5"/>
  <c r="U388" i="5"/>
  <c r="Y388" i="5"/>
  <c r="AC388" i="5"/>
  <c r="T389" i="5"/>
  <c r="T387" i="5"/>
  <c r="X387" i="5"/>
  <c r="AB387" i="5"/>
  <c r="V388" i="5"/>
  <c r="Z388" i="5"/>
  <c r="AD388" i="5"/>
  <c r="T390" i="5"/>
  <c r="X390" i="5"/>
  <c r="AB390" i="5"/>
  <c r="X392" i="5"/>
  <c r="S387" i="5"/>
  <c r="R388" i="5"/>
  <c r="S390" i="5"/>
  <c r="S391" i="5"/>
  <c r="R392" i="5"/>
  <c r="S392" i="5"/>
  <c r="W392" i="5"/>
  <c r="AA392" i="5"/>
  <c r="S394" i="5"/>
  <c r="V395" i="5"/>
  <c r="Z395" i="5"/>
  <c r="AD395" i="5"/>
  <c r="S398" i="5"/>
  <c r="AA398" i="5"/>
  <c r="V399" i="5"/>
  <c r="Z399" i="5"/>
  <c r="AD399" i="5"/>
  <c r="V403" i="5"/>
  <c r="Z403" i="5"/>
  <c r="AD403" i="5"/>
  <c r="Z406" i="5"/>
  <c r="V413" i="5"/>
  <c r="R389" i="5"/>
  <c r="AB392" i="5"/>
  <c r="T394" i="5"/>
  <c r="AB394" i="5"/>
  <c r="W395" i="5"/>
  <c r="AA395" i="5"/>
  <c r="V396" i="5"/>
  <c r="Z396" i="5"/>
  <c r="AD396" i="5"/>
  <c r="U397" i="5"/>
  <c r="Y397" i="5"/>
  <c r="AC397" i="5"/>
  <c r="T398" i="5"/>
  <c r="W399" i="5"/>
  <c r="AA399" i="5"/>
  <c r="V400" i="5"/>
  <c r="Z400" i="5"/>
  <c r="AD400" i="5"/>
  <c r="T402" i="5"/>
  <c r="AB402" i="5"/>
  <c r="W403" i="5"/>
  <c r="AA403" i="5"/>
  <c r="U404" i="5"/>
  <c r="Y404" i="5"/>
  <c r="AC404" i="5"/>
  <c r="X405" i="5"/>
  <c r="AB405" i="5"/>
  <c r="S406" i="5"/>
  <c r="V407" i="5"/>
  <c r="Z407" i="5"/>
  <c r="AD407" i="5"/>
  <c r="W413" i="5"/>
  <c r="AA413" i="5"/>
  <c r="R390" i="5"/>
  <c r="U392" i="5"/>
  <c r="Y392" i="5"/>
  <c r="AC392" i="5"/>
  <c r="V393" i="5"/>
  <c r="Z393" i="5"/>
  <c r="AD393" i="5"/>
  <c r="Y394" i="5"/>
  <c r="X395" i="5"/>
  <c r="AB395" i="5"/>
  <c r="W396" i="5"/>
  <c r="AA396" i="5"/>
  <c r="V397" i="5"/>
  <c r="Z397" i="5"/>
  <c r="AD397" i="5"/>
  <c r="T399" i="5"/>
  <c r="X399" i="5"/>
  <c r="AB399" i="5"/>
  <c r="W400" i="5"/>
  <c r="AA400" i="5"/>
  <c r="V401" i="5"/>
  <c r="Z401" i="5"/>
  <c r="AD401" i="5"/>
  <c r="U402" i="5"/>
  <c r="X403" i="5"/>
  <c r="AB403" i="5"/>
  <c r="V404" i="5"/>
  <c r="Z404" i="5"/>
  <c r="AD404" i="5"/>
  <c r="U405" i="5"/>
  <c r="Y405" i="5"/>
  <c r="AC405" i="5"/>
  <c r="T406" i="5"/>
  <c r="W407" i="5"/>
  <c r="AA407" i="5"/>
  <c r="X413" i="5"/>
  <c r="AB413" i="5"/>
  <c r="V392" i="5"/>
  <c r="Z392" i="5"/>
  <c r="AD392" i="5"/>
  <c r="U395" i="5"/>
  <c r="Y395" i="5"/>
  <c r="AC395" i="5"/>
  <c r="U399" i="5"/>
  <c r="Y399" i="5"/>
  <c r="AC399" i="5"/>
  <c r="AD402" i="5"/>
  <c r="U403" i="5"/>
  <c r="Y403" i="5"/>
  <c r="AC403" i="5"/>
  <c r="W404" i="5"/>
  <c r="AA404" i="5"/>
  <c r="V405" i="5"/>
  <c r="Z405" i="5"/>
  <c r="AD405" i="5"/>
  <c r="U406" i="5"/>
  <c r="X407" i="5"/>
  <c r="AB407" i="5"/>
  <c r="U413" i="5"/>
  <c r="Y413" i="5"/>
  <c r="AC413" i="5"/>
  <c r="R393" i="5"/>
  <c r="R397" i="5"/>
  <c r="S399" i="5"/>
  <c r="R401" i="5"/>
  <c r="W402" i="5"/>
  <c r="S403" i="5"/>
  <c r="S404" i="5"/>
  <c r="R405" i="5"/>
  <c r="S407" i="5"/>
  <c r="U412" i="5"/>
  <c r="Y412" i="5"/>
  <c r="AC412" i="5"/>
  <c r="T414" i="5"/>
  <c r="R394" i="5"/>
  <c r="R398" i="5"/>
  <c r="T400" i="5"/>
  <c r="R402" i="5"/>
  <c r="R406" i="5"/>
  <c r="R412" i="5"/>
  <c r="V412" i="5"/>
  <c r="Z412" i="5"/>
  <c r="AD412" i="5"/>
  <c r="Z413" i="5"/>
  <c r="AD413" i="5"/>
  <c r="U414" i="5"/>
  <c r="Y414" i="5"/>
  <c r="AC414" i="5"/>
  <c r="X415" i="5"/>
  <c r="AB415" i="5"/>
  <c r="AE426" i="5"/>
  <c r="AE428" i="5"/>
  <c r="AE430" i="5"/>
  <c r="T393" i="5"/>
  <c r="R395" i="5"/>
  <c r="T397" i="5"/>
  <c r="R399" i="5"/>
  <c r="T401" i="5"/>
  <c r="R403" i="5"/>
  <c r="R407" i="5"/>
  <c r="S412" i="5"/>
  <c r="W412" i="5"/>
  <c r="AA412" i="5"/>
  <c r="R413" i="5"/>
  <c r="AE416" i="5"/>
  <c r="T412" i="5"/>
  <c r="X412" i="5"/>
  <c r="AB412" i="5"/>
  <c r="V415" i="5"/>
  <c r="Z415" i="5"/>
  <c r="T416" i="5"/>
  <c r="AA432" i="5"/>
  <c r="AA435" i="5" s="1"/>
  <c r="AE427" i="5"/>
  <c r="S414" i="5"/>
  <c r="R415" i="5"/>
  <c r="S425" i="5"/>
  <c r="W425" i="5"/>
  <c r="W432" i="5" s="1"/>
  <c r="W435" i="5" s="1"/>
  <c r="R428" i="5"/>
  <c r="S429" i="5"/>
  <c r="AE429" i="5" s="1"/>
  <c r="F432" i="5"/>
  <c r="F435" i="5" s="1"/>
  <c r="T439" i="5"/>
  <c r="W440" i="5"/>
  <c r="AA440" i="5"/>
  <c r="U442" i="5"/>
  <c r="Y442" i="5"/>
  <c r="AC442" i="5"/>
  <c r="X443" i="5"/>
  <c r="AB443" i="5"/>
  <c r="U446" i="5"/>
  <c r="Y446" i="5"/>
  <c r="AC446" i="5"/>
  <c r="AB474" i="5"/>
  <c r="AB480" i="5" s="1"/>
  <c r="R416" i="5"/>
  <c r="T425" i="5"/>
  <c r="T432" i="5" s="1"/>
  <c r="T435" i="5" s="1"/>
  <c r="X425" i="5"/>
  <c r="X432" i="5" s="1"/>
  <c r="X435" i="5" s="1"/>
  <c r="AB425" i="5"/>
  <c r="AB432" i="5" s="1"/>
  <c r="AB435" i="5" s="1"/>
  <c r="R427" i="5"/>
  <c r="H448" i="5"/>
  <c r="H451" i="5" s="1"/>
  <c r="U451" i="5" s="1"/>
  <c r="U439" i="5"/>
  <c r="L448" i="5"/>
  <c r="L451" i="5" s="1"/>
  <c r="Y451" i="5" s="1"/>
  <c r="Y439" i="5"/>
  <c r="P448" i="5"/>
  <c r="P451" i="5" s="1"/>
  <c r="AC451" i="5" s="1"/>
  <c r="AC439" i="5"/>
  <c r="X439" i="5"/>
  <c r="V442" i="5"/>
  <c r="Z442" i="5"/>
  <c r="AD442" i="5"/>
  <c r="V446" i="5"/>
  <c r="Z446" i="5"/>
  <c r="AD446" i="5"/>
  <c r="AC474" i="5"/>
  <c r="AC480" i="5" s="1"/>
  <c r="S415" i="5"/>
  <c r="U425" i="5"/>
  <c r="U432" i="5" s="1"/>
  <c r="U435" i="5" s="1"/>
  <c r="Y425" i="5"/>
  <c r="Y432" i="5" s="1"/>
  <c r="Y435" i="5" s="1"/>
  <c r="AC425" i="5"/>
  <c r="AC432" i="5" s="1"/>
  <c r="AC435" i="5" s="1"/>
  <c r="R426" i="5"/>
  <c r="R430" i="5"/>
  <c r="I448" i="5"/>
  <c r="I451" i="5" s="1"/>
  <c r="V451" i="5" s="1"/>
  <c r="V439" i="5"/>
  <c r="M448" i="5"/>
  <c r="M451" i="5" s="1"/>
  <c r="Z451" i="5" s="1"/>
  <c r="Z439" i="5"/>
  <c r="AB439" i="5"/>
  <c r="U440" i="5"/>
  <c r="Y440" i="5"/>
  <c r="AC440" i="5"/>
  <c r="T441" i="5"/>
  <c r="S442" i="5"/>
  <c r="W442" i="5"/>
  <c r="AA442" i="5"/>
  <c r="V443" i="5"/>
  <c r="Z443" i="5"/>
  <c r="AD443" i="5"/>
  <c r="U444" i="5"/>
  <c r="Y444" i="5"/>
  <c r="AC444" i="5"/>
  <c r="T445" i="5"/>
  <c r="W446" i="5"/>
  <c r="AA446" i="5"/>
  <c r="AD474" i="5"/>
  <c r="AD480" i="5" s="1"/>
  <c r="V425" i="5"/>
  <c r="V432" i="5" s="1"/>
  <c r="V435" i="5" s="1"/>
  <c r="Z425" i="5"/>
  <c r="Z432" i="5" s="1"/>
  <c r="Z435" i="5" s="1"/>
  <c r="AD425" i="5"/>
  <c r="AD432" i="5" s="1"/>
  <c r="AD435" i="5" s="1"/>
  <c r="R439" i="5"/>
  <c r="F448" i="5"/>
  <c r="F451" i="5" s="1"/>
  <c r="J448" i="5"/>
  <c r="J451" i="5" s="1"/>
  <c r="W451" i="5" s="1"/>
  <c r="W439" i="5"/>
  <c r="S439" i="5"/>
  <c r="V440" i="5"/>
  <c r="Z440" i="5"/>
  <c r="AD440" i="5"/>
  <c r="X442" i="5"/>
  <c r="AB442" i="5"/>
  <c r="W443" i="5"/>
  <c r="AA443" i="5"/>
  <c r="V444" i="5"/>
  <c r="Z444" i="5"/>
  <c r="AD444" i="5"/>
  <c r="T446" i="5"/>
  <c r="X446" i="5"/>
  <c r="AB446" i="5"/>
  <c r="AA439" i="5"/>
  <c r="R440" i="5"/>
  <c r="Z441" i="5"/>
  <c r="T442" i="5"/>
  <c r="S443" i="5"/>
  <c r="R444" i="5"/>
  <c r="U445" i="5"/>
  <c r="S446" i="5"/>
  <c r="T473" i="5"/>
  <c r="X473" i="5"/>
  <c r="AB473" i="5"/>
  <c r="T475" i="5"/>
  <c r="T481" i="5" s="1"/>
  <c r="X475" i="5"/>
  <c r="X481" i="5" s="1"/>
  <c r="AB475" i="5"/>
  <c r="AB481" i="5" s="1"/>
  <c r="R441" i="5"/>
  <c r="T443" i="5"/>
  <c r="R445" i="5"/>
  <c r="U473" i="5"/>
  <c r="Y473" i="5"/>
  <c r="AC473" i="5"/>
  <c r="U475" i="5"/>
  <c r="U481" i="5" s="1"/>
  <c r="Y475" i="5"/>
  <c r="Y481" i="5" s="1"/>
  <c r="AC475" i="5"/>
  <c r="AC481" i="5" s="1"/>
  <c r="S440" i="5"/>
  <c r="R442" i="5"/>
  <c r="S444" i="5"/>
  <c r="R446" i="5"/>
  <c r="V473" i="5"/>
  <c r="Z473" i="5"/>
  <c r="AD473" i="5"/>
  <c r="V475" i="5"/>
  <c r="V481" i="5" s="1"/>
  <c r="Z475" i="5"/>
  <c r="Z481" i="5" s="1"/>
  <c r="AD475" i="5"/>
  <c r="AD481" i="5" s="1"/>
  <c r="AD439" i="5"/>
  <c r="S473" i="5"/>
  <c r="W473" i="5"/>
  <c r="AA473" i="5"/>
  <c r="S475" i="5"/>
  <c r="S481" i="5" s="1"/>
  <c r="W475" i="5"/>
  <c r="W481" i="5" s="1"/>
  <c r="AA475" i="5"/>
  <c r="AA481" i="5" s="1"/>
  <c r="BD399" i="5" l="1"/>
  <c r="BE399" i="5" s="1"/>
  <c r="BF399" i="5" s="1"/>
  <c r="BG399" i="5" s="1"/>
  <c r="BD172" i="5"/>
  <c r="BE172" i="5" s="1"/>
  <c r="BF172" i="5" s="1"/>
  <c r="BG172" i="5" s="1"/>
  <c r="BD144" i="5"/>
  <c r="BE144" i="5" s="1"/>
  <c r="BF144" i="5" s="1"/>
  <c r="BG144" i="5" s="1"/>
  <c r="BD394" i="5"/>
  <c r="BE394" i="5" s="1"/>
  <c r="BF394" i="5" s="1"/>
  <c r="BG394" i="5" s="1"/>
  <c r="BD368" i="5"/>
  <c r="BE368" i="5" s="1"/>
  <c r="BF368" i="5" s="1"/>
  <c r="BG368" i="5" s="1"/>
  <c r="BD179" i="5"/>
  <c r="BE179" i="5" s="1"/>
  <c r="BF179" i="5" s="1"/>
  <c r="BG179" i="5" s="1"/>
  <c r="BD24" i="5"/>
  <c r="BE24" i="5" s="1"/>
  <c r="BF24" i="5" s="1"/>
  <c r="BG24" i="5" s="1"/>
  <c r="BD403" i="5"/>
  <c r="BE403" i="5" s="1"/>
  <c r="BF403" i="5" s="1"/>
  <c r="BG403" i="5" s="1"/>
  <c r="BD356" i="5"/>
  <c r="BE356" i="5" s="1"/>
  <c r="BF356" i="5" s="1"/>
  <c r="BG356" i="5" s="1"/>
  <c r="BD115" i="5"/>
  <c r="BE115" i="5" s="1"/>
  <c r="BF115" i="5" s="1"/>
  <c r="BG115" i="5" s="1"/>
  <c r="BD298" i="5"/>
  <c r="BE298" i="5" s="1"/>
  <c r="BF298" i="5" s="1"/>
  <c r="BG298" i="5" s="1"/>
  <c r="BD278" i="5"/>
  <c r="BE278" i="5" s="1"/>
  <c r="BF278" i="5" s="1"/>
  <c r="BG278" i="5" s="1"/>
  <c r="BD33" i="5"/>
  <c r="BE33" i="5" s="1"/>
  <c r="BF33" i="5" s="1"/>
  <c r="BG33" i="5" s="1"/>
  <c r="BD160" i="5"/>
  <c r="BE160" i="5" s="1"/>
  <c r="BF160" i="5" s="1"/>
  <c r="BG160" i="5" s="1"/>
  <c r="BD333" i="5"/>
  <c r="BE333" i="5" s="1"/>
  <c r="BF333" i="5" s="1"/>
  <c r="BG333" i="5" s="1"/>
  <c r="BD99" i="5"/>
  <c r="BE99" i="5" s="1"/>
  <c r="BF99" i="5" s="1"/>
  <c r="BG99" i="5" s="1"/>
  <c r="BD354" i="5"/>
  <c r="BE354" i="5" s="1"/>
  <c r="BF354" i="5" s="1"/>
  <c r="BG354" i="5" s="1"/>
  <c r="BD329" i="5"/>
  <c r="BE329" i="5" s="1"/>
  <c r="BF329" i="5" s="1"/>
  <c r="BG329" i="5" s="1"/>
  <c r="BD255" i="5"/>
  <c r="BE255" i="5" s="1"/>
  <c r="BF255" i="5" s="1"/>
  <c r="BG255" i="5" s="1"/>
  <c r="BD26" i="5"/>
  <c r="BE26" i="5" s="1"/>
  <c r="BF26" i="5" s="1"/>
  <c r="BG26" i="5" s="1"/>
  <c r="BD276" i="5"/>
  <c r="BE276" i="5" s="1"/>
  <c r="BF276" i="5" s="1"/>
  <c r="BG276" i="5" s="1"/>
  <c r="BD251" i="5"/>
  <c r="BE251" i="5" s="1"/>
  <c r="BF251" i="5" s="1"/>
  <c r="BG251" i="5" s="1"/>
  <c r="BD149" i="5"/>
  <c r="BE149" i="5" s="1"/>
  <c r="BF149" i="5" s="1"/>
  <c r="BG149" i="5" s="1"/>
  <c r="BD363" i="5"/>
  <c r="BE363" i="5" s="1"/>
  <c r="BF363" i="5" s="1"/>
  <c r="BG363" i="5" s="1"/>
  <c r="BD170" i="5"/>
  <c r="BE170" i="5" s="1"/>
  <c r="BF170" i="5" s="1"/>
  <c r="BG170" i="5" s="1"/>
  <c r="BD145" i="5"/>
  <c r="BE145" i="5" s="1"/>
  <c r="BF145" i="5" s="1"/>
  <c r="BG145" i="5" s="1"/>
  <c r="BD67" i="5"/>
  <c r="BE67" i="5" s="1"/>
  <c r="BF67" i="5" s="1"/>
  <c r="BG67" i="5" s="1"/>
  <c r="BD285" i="5"/>
  <c r="BE285" i="5" s="1"/>
  <c r="BF285" i="5" s="1"/>
  <c r="BG285" i="5" s="1"/>
  <c r="BD97" i="5"/>
  <c r="BE97" i="5" s="1"/>
  <c r="BF97" i="5" s="1"/>
  <c r="BG97" i="5" s="1"/>
  <c r="BD63" i="5"/>
  <c r="BE63" i="5" s="1"/>
  <c r="BF63" i="5" s="1"/>
  <c r="BG63" i="5" s="1"/>
  <c r="BD402" i="5"/>
  <c r="BE402" i="5" s="1"/>
  <c r="BF402" i="5" s="1"/>
  <c r="BG402" i="5" s="1"/>
  <c r="BD389" i="5"/>
  <c r="BE389" i="5" s="1"/>
  <c r="BF389" i="5" s="1"/>
  <c r="BG389" i="5" s="1"/>
  <c r="BD325" i="5"/>
  <c r="BE325" i="5" s="1"/>
  <c r="BF325" i="5" s="1"/>
  <c r="BG325" i="5" s="1"/>
  <c r="BD205" i="5"/>
  <c r="BE205" i="5" s="1"/>
  <c r="BF205" i="5" s="1"/>
  <c r="BG205" i="5" s="1"/>
  <c r="BD141" i="5"/>
  <c r="BE141" i="5" s="1"/>
  <c r="BF141" i="5" s="1"/>
  <c r="BG141" i="5" s="1"/>
  <c r="BD59" i="5"/>
  <c r="BE59" i="5" s="1"/>
  <c r="BF59" i="5" s="1"/>
  <c r="BG59" i="5" s="1"/>
  <c r="BD82" i="5"/>
  <c r="BE82" i="5" s="1"/>
  <c r="BF82" i="5" s="1"/>
  <c r="BG82" i="5" s="1"/>
  <c r="BD348" i="5"/>
  <c r="BE348" i="5" s="1"/>
  <c r="BF348" i="5" s="1"/>
  <c r="BG348" i="5" s="1"/>
  <c r="BD270" i="5"/>
  <c r="BE270" i="5" s="1"/>
  <c r="BF270" i="5" s="1"/>
  <c r="BG270" i="5" s="1"/>
  <c r="BD164" i="5"/>
  <c r="BE164" i="5" s="1"/>
  <c r="BF164" i="5" s="1"/>
  <c r="BG164" i="5" s="1"/>
  <c r="BD86" i="5"/>
  <c r="BE86" i="5" s="1"/>
  <c r="BF86" i="5" s="1"/>
  <c r="BG86" i="5" s="1"/>
  <c r="BD18" i="5"/>
  <c r="BE18" i="5" s="1"/>
  <c r="BF18" i="5" s="1"/>
  <c r="BG18" i="5" s="1"/>
  <c r="BD355" i="5"/>
  <c r="BE355" i="5" s="1"/>
  <c r="BF355" i="5" s="1"/>
  <c r="BG355" i="5" s="1"/>
  <c r="BD277" i="5"/>
  <c r="BE277" i="5" s="1"/>
  <c r="BF277" i="5" s="1"/>
  <c r="BG277" i="5" s="1"/>
  <c r="BD171" i="5"/>
  <c r="BE171" i="5" s="1"/>
  <c r="BF171" i="5" s="1"/>
  <c r="BG171" i="5" s="1"/>
  <c r="BD98" i="5"/>
  <c r="BE98" i="5" s="1"/>
  <c r="BF98" i="5" s="1"/>
  <c r="BG98" i="5" s="1"/>
  <c r="BD25" i="5"/>
  <c r="BE25" i="5" s="1"/>
  <c r="BF25" i="5" s="1"/>
  <c r="BG25" i="5" s="1"/>
  <c r="BD128" i="5"/>
  <c r="BE128" i="5" s="1"/>
  <c r="BF128" i="5" s="1"/>
  <c r="BG128" i="5" s="1"/>
  <c r="BD346" i="5"/>
  <c r="BE346" i="5" s="1"/>
  <c r="BF346" i="5" s="1"/>
  <c r="BG346" i="5" s="1"/>
  <c r="BD268" i="5"/>
  <c r="BE268" i="5" s="1"/>
  <c r="BF268" i="5" s="1"/>
  <c r="BG268" i="5" s="1"/>
  <c r="BD162" i="5"/>
  <c r="BE162" i="5" s="1"/>
  <c r="BF162" i="5" s="1"/>
  <c r="BG162" i="5" s="1"/>
  <c r="BD84" i="5"/>
  <c r="BE84" i="5" s="1"/>
  <c r="BF84" i="5" s="1"/>
  <c r="BG84" i="5" s="1"/>
  <c r="BD16" i="5"/>
  <c r="BE16" i="5" s="1"/>
  <c r="BF16" i="5" s="1"/>
  <c r="BG16" i="5" s="1"/>
  <c r="BD290" i="5"/>
  <c r="BE290" i="5" s="1"/>
  <c r="BF290" i="5" s="1"/>
  <c r="BG290" i="5" s="1"/>
  <c r="BD152" i="5"/>
  <c r="BE152" i="5" s="1"/>
  <c r="BF152" i="5" s="1"/>
  <c r="BG152" i="5" s="1"/>
  <c r="BD385" i="5"/>
  <c r="BE385" i="5" s="1"/>
  <c r="BF385" i="5" s="1"/>
  <c r="BG385" i="5" s="1"/>
  <c r="BD311" i="5"/>
  <c r="BE311" i="5" s="1"/>
  <c r="BF311" i="5" s="1"/>
  <c r="BG311" i="5" s="1"/>
  <c r="BD201" i="5"/>
  <c r="BE201" i="5" s="1"/>
  <c r="BF201" i="5" s="1"/>
  <c r="BG201" i="5" s="1"/>
  <c r="BD137" i="5"/>
  <c r="BE137" i="5" s="1"/>
  <c r="BF137" i="5" s="1"/>
  <c r="BG137" i="5" s="1"/>
  <c r="BD391" i="5"/>
  <c r="BE391" i="5" s="1"/>
  <c r="BF391" i="5" s="1"/>
  <c r="BG391" i="5" s="1"/>
  <c r="BD359" i="5"/>
  <c r="BE359" i="5" s="1"/>
  <c r="BF359" i="5" s="1"/>
  <c r="BG359" i="5" s="1"/>
  <c r="BD327" i="5"/>
  <c r="BE327" i="5" s="1"/>
  <c r="BF327" i="5" s="1"/>
  <c r="BG327" i="5" s="1"/>
  <c r="BD281" i="5"/>
  <c r="BE281" i="5" s="1"/>
  <c r="BF281" i="5" s="1"/>
  <c r="BG281" i="5" s="1"/>
  <c r="BD249" i="5"/>
  <c r="BE249" i="5" s="1"/>
  <c r="BF249" i="5" s="1"/>
  <c r="BG249" i="5" s="1"/>
  <c r="BD175" i="5"/>
  <c r="BE175" i="5" s="1"/>
  <c r="BF175" i="5" s="1"/>
  <c r="BG175" i="5" s="1"/>
  <c r="BD143" i="5"/>
  <c r="BE143" i="5" s="1"/>
  <c r="BF143" i="5" s="1"/>
  <c r="BG143" i="5" s="1"/>
  <c r="BD102" i="5"/>
  <c r="BE102" i="5" s="1"/>
  <c r="BF102" i="5" s="1"/>
  <c r="BG102" i="5" s="1"/>
  <c r="BD61" i="5"/>
  <c r="BE61" i="5" s="1"/>
  <c r="BF61" i="5" s="1"/>
  <c r="BG61" i="5" s="1"/>
  <c r="BD29" i="5"/>
  <c r="BE29" i="5" s="1"/>
  <c r="BF29" i="5" s="1"/>
  <c r="BG29" i="5" s="1"/>
  <c r="BD264" i="5"/>
  <c r="BE264" i="5" s="1"/>
  <c r="BF264" i="5" s="1"/>
  <c r="BG264" i="5" s="1"/>
  <c r="BD126" i="5"/>
  <c r="BE126" i="5" s="1"/>
  <c r="BF126" i="5" s="1"/>
  <c r="BG126" i="5" s="1"/>
  <c r="BD11" i="5"/>
  <c r="BE11" i="5" s="1"/>
  <c r="BF11" i="5" s="1"/>
  <c r="BG11" i="5" s="1"/>
  <c r="BD390" i="5"/>
  <c r="BE390" i="5" s="1"/>
  <c r="BF390" i="5" s="1"/>
  <c r="BG390" i="5" s="1"/>
  <c r="BD358" i="5"/>
  <c r="BE358" i="5" s="1"/>
  <c r="BF358" i="5" s="1"/>
  <c r="BG358" i="5" s="1"/>
  <c r="BD326" i="5"/>
  <c r="BE326" i="5" s="1"/>
  <c r="BF326" i="5" s="1"/>
  <c r="BG326" i="5" s="1"/>
  <c r="BD280" i="5"/>
  <c r="BE280" i="5" s="1"/>
  <c r="BF280" i="5" s="1"/>
  <c r="BG280" i="5" s="1"/>
  <c r="BD248" i="5"/>
  <c r="BE248" i="5" s="1"/>
  <c r="BF248" i="5" s="1"/>
  <c r="BG248" i="5" s="1"/>
  <c r="BD174" i="5"/>
  <c r="BE174" i="5" s="1"/>
  <c r="BF174" i="5" s="1"/>
  <c r="BG174" i="5" s="1"/>
  <c r="BD142" i="5"/>
  <c r="BE142" i="5" s="1"/>
  <c r="BF142" i="5" s="1"/>
  <c r="BG142" i="5" s="1"/>
  <c r="BD101" i="5"/>
  <c r="BE101" i="5" s="1"/>
  <c r="BF101" i="5" s="1"/>
  <c r="BG101" i="5" s="1"/>
  <c r="BD60" i="5"/>
  <c r="BE60" i="5" s="1"/>
  <c r="BF60" i="5" s="1"/>
  <c r="BG60" i="5" s="1"/>
  <c r="BD28" i="5"/>
  <c r="BE28" i="5" s="1"/>
  <c r="BF28" i="5" s="1"/>
  <c r="BG28" i="5" s="1"/>
  <c r="BD374" i="5"/>
  <c r="BE374" i="5" s="1"/>
  <c r="BF374" i="5" s="1"/>
  <c r="BG374" i="5" s="1"/>
  <c r="BD44" i="5"/>
  <c r="BE44" i="5" s="1"/>
  <c r="BF44" i="5" s="1"/>
  <c r="BG44" i="5" s="1"/>
  <c r="BD383" i="5"/>
  <c r="BE383" i="5" s="1"/>
  <c r="BF383" i="5" s="1"/>
  <c r="BG383" i="5" s="1"/>
  <c r="BD351" i="5"/>
  <c r="BE351" i="5" s="1"/>
  <c r="BF351" i="5" s="1"/>
  <c r="BG351" i="5" s="1"/>
  <c r="BD309" i="5"/>
  <c r="BE309" i="5" s="1"/>
  <c r="BF309" i="5" s="1"/>
  <c r="BG309" i="5" s="1"/>
  <c r="BD273" i="5"/>
  <c r="BE273" i="5" s="1"/>
  <c r="BF273" i="5" s="1"/>
  <c r="BG273" i="5" s="1"/>
  <c r="BD199" i="5"/>
  <c r="BE199" i="5" s="1"/>
  <c r="BF199" i="5" s="1"/>
  <c r="BG199" i="5" s="1"/>
  <c r="BD167" i="5"/>
  <c r="BE167" i="5" s="1"/>
  <c r="BF167" i="5" s="1"/>
  <c r="BG167" i="5" s="1"/>
  <c r="BD135" i="5"/>
  <c r="BE135" i="5" s="1"/>
  <c r="BF135" i="5" s="1"/>
  <c r="BG135" i="5" s="1"/>
  <c r="BD89" i="5"/>
  <c r="BE89" i="5" s="1"/>
  <c r="BF89" i="5" s="1"/>
  <c r="BG89" i="5" s="1"/>
  <c r="BD53" i="5"/>
  <c r="BE53" i="5" s="1"/>
  <c r="BF53" i="5" s="1"/>
  <c r="BG53" i="5" s="1"/>
  <c r="BD21" i="5"/>
  <c r="BE21" i="5" s="1"/>
  <c r="BF21" i="5" s="1"/>
  <c r="BG21" i="5" s="1"/>
  <c r="BD296" i="5"/>
  <c r="BE296" i="5" s="1"/>
  <c r="BF296" i="5" s="1"/>
  <c r="BG296" i="5" s="1"/>
  <c r="BD382" i="5"/>
  <c r="BE382" i="5" s="1"/>
  <c r="BF382" i="5" s="1"/>
  <c r="BG382" i="5" s="1"/>
  <c r="BD350" i="5"/>
  <c r="BE350" i="5" s="1"/>
  <c r="BF350" i="5" s="1"/>
  <c r="BG350" i="5" s="1"/>
  <c r="BD308" i="5"/>
  <c r="BE308" i="5" s="1"/>
  <c r="BF308" i="5" s="1"/>
  <c r="BG308" i="5" s="1"/>
  <c r="BD272" i="5"/>
  <c r="BE272" i="5" s="1"/>
  <c r="BF272" i="5" s="1"/>
  <c r="BG272" i="5" s="1"/>
  <c r="BD198" i="5"/>
  <c r="BE198" i="5" s="1"/>
  <c r="BF198" i="5" s="1"/>
  <c r="BG198" i="5" s="1"/>
  <c r="BD166" i="5"/>
  <c r="BE166" i="5" s="1"/>
  <c r="BF166" i="5" s="1"/>
  <c r="BG166" i="5" s="1"/>
  <c r="BD134" i="5"/>
  <c r="BE134" i="5" s="1"/>
  <c r="BF134" i="5" s="1"/>
  <c r="BG134" i="5" s="1"/>
  <c r="BD88" i="5"/>
  <c r="BE88" i="5" s="1"/>
  <c r="BF88" i="5" s="1"/>
  <c r="BG88" i="5" s="1"/>
  <c r="BD52" i="5"/>
  <c r="BE52" i="5" s="1"/>
  <c r="BF52" i="5" s="1"/>
  <c r="BG52" i="5" s="1"/>
  <c r="BD20" i="5"/>
  <c r="BE20" i="5" s="1"/>
  <c r="BF20" i="5" s="1"/>
  <c r="BG20" i="5" s="1"/>
  <c r="BD375" i="5"/>
  <c r="BE375" i="5" s="1"/>
  <c r="BF375" i="5" s="1"/>
  <c r="BG375" i="5" s="1"/>
  <c r="BD343" i="5"/>
  <c r="BE343" i="5" s="1"/>
  <c r="BF343" i="5" s="1"/>
  <c r="BG343" i="5" s="1"/>
  <c r="BD297" i="5"/>
  <c r="BE297" i="5" s="1"/>
  <c r="BF297" i="5" s="1"/>
  <c r="BG297" i="5" s="1"/>
  <c r="BD265" i="5"/>
  <c r="BE265" i="5" s="1"/>
  <c r="BF265" i="5" s="1"/>
  <c r="BG265" i="5" s="1"/>
  <c r="BD191" i="5"/>
  <c r="BE191" i="5" s="1"/>
  <c r="BF191" i="5" s="1"/>
  <c r="BG191" i="5" s="1"/>
  <c r="BD159" i="5"/>
  <c r="BE159" i="5" s="1"/>
  <c r="BF159" i="5" s="1"/>
  <c r="BG159" i="5" s="1"/>
  <c r="BD127" i="5"/>
  <c r="BE127" i="5" s="1"/>
  <c r="BF127" i="5" s="1"/>
  <c r="BG127" i="5" s="1"/>
  <c r="BD77" i="5"/>
  <c r="BE77" i="5" s="1"/>
  <c r="BF77" i="5" s="1"/>
  <c r="BG77" i="5" s="1"/>
  <c r="BD45" i="5"/>
  <c r="BE45" i="5" s="1"/>
  <c r="BF45" i="5" s="1"/>
  <c r="BG45" i="5" s="1"/>
  <c r="BD13" i="5"/>
  <c r="BE13" i="5" s="1"/>
  <c r="BF13" i="5" s="1"/>
  <c r="BG13" i="5" s="1"/>
  <c r="BD342" i="5"/>
  <c r="BE342" i="5" s="1"/>
  <c r="BF342" i="5" s="1"/>
  <c r="BG342" i="5" s="1"/>
  <c r="BD76" i="5"/>
  <c r="BE76" i="5" s="1"/>
  <c r="BF76" i="5" s="1"/>
  <c r="BG76" i="5" s="1"/>
  <c r="D2" i="7"/>
  <c r="BD367" i="5"/>
  <c r="BE367" i="5" s="1"/>
  <c r="BF367" i="5" s="1"/>
  <c r="BG367" i="5" s="1"/>
  <c r="BD335" i="5"/>
  <c r="BE335" i="5" s="1"/>
  <c r="BF335" i="5" s="1"/>
  <c r="BG335" i="5" s="1"/>
  <c r="BD289" i="5"/>
  <c r="BE289" i="5" s="1"/>
  <c r="BF289" i="5" s="1"/>
  <c r="BG289" i="5" s="1"/>
  <c r="BD257" i="5"/>
  <c r="BE257" i="5" s="1"/>
  <c r="BF257" i="5" s="1"/>
  <c r="BG257" i="5" s="1"/>
  <c r="BD183" i="5"/>
  <c r="BE183" i="5" s="1"/>
  <c r="BF183" i="5" s="1"/>
  <c r="BG183" i="5" s="1"/>
  <c r="BD151" i="5"/>
  <c r="BE151" i="5" s="1"/>
  <c r="BF151" i="5" s="1"/>
  <c r="BG151" i="5" s="1"/>
  <c r="BD119" i="5"/>
  <c r="BE119" i="5" s="1"/>
  <c r="BF119" i="5" s="1"/>
  <c r="BG119" i="5" s="1"/>
  <c r="BD69" i="5"/>
  <c r="BE69" i="5" s="1"/>
  <c r="BF69" i="5" s="1"/>
  <c r="BG69" i="5" s="1"/>
  <c r="BD37" i="5"/>
  <c r="BE37" i="5" s="1"/>
  <c r="BF37" i="5" s="1"/>
  <c r="BG37" i="5" s="1"/>
  <c r="BD158" i="5"/>
  <c r="BE158" i="5" s="1"/>
  <c r="BF158" i="5" s="1"/>
  <c r="BG158" i="5" s="1"/>
  <c r="BD366" i="5"/>
  <c r="BE366" i="5" s="1"/>
  <c r="BF366" i="5" s="1"/>
  <c r="BG366" i="5" s="1"/>
  <c r="BD334" i="5"/>
  <c r="BE334" i="5" s="1"/>
  <c r="BF334" i="5" s="1"/>
  <c r="BG334" i="5" s="1"/>
  <c r="BD288" i="5"/>
  <c r="BE288" i="5" s="1"/>
  <c r="BF288" i="5" s="1"/>
  <c r="BG288" i="5" s="1"/>
  <c r="BD256" i="5"/>
  <c r="BE256" i="5" s="1"/>
  <c r="BF256" i="5" s="1"/>
  <c r="BG256" i="5" s="1"/>
  <c r="BD182" i="5"/>
  <c r="BE182" i="5" s="1"/>
  <c r="BF182" i="5" s="1"/>
  <c r="BG182" i="5" s="1"/>
  <c r="BD150" i="5"/>
  <c r="BE150" i="5" s="1"/>
  <c r="BF150" i="5" s="1"/>
  <c r="BG150" i="5" s="1"/>
  <c r="BD118" i="5"/>
  <c r="BE118" i="5" s="1"/>
  <c r="BF118" i="5" s="1"/>
  <c r="BG118" i="5" s="1"/>
  <c r="BD68" i="5"/>
  <c r="BE68" i="5" s="1"/>
  <c r="BF68" i="5" s="1"/>
  <c r="BG68" i="5" s="1"/>
  <c r="BD36" i="5"/>
  <c r="BE36" i="5" s="1"/>
  <c r="BF36" i="5" s="1"/>
  <c r="BG36" i="5" s="1"/>
  <c r="BD190" i="5"/>
  <c r="BE190" i="5" s="1"/>
  <c r="BF190" i="5" s="1"/>
  <c r="BG190" i="5" s="1"/>
  <c r="BD381" i="5"/>
  <c r="BE381" i="5" s="1"/>
  <c r="BF381" i="5" s="1"/>
  <c r="BG381" i="5" s="1"/>
  <c r="BD307" i="5"/>
  <c r="BE307" i="5" s="1"/>
  <c r="BF307" i="5" s="1"/>
  <c r="BG307" i="5" s="1"/>
  <c r="BD197" i="5"/>
  <c r="BE197" i="5" s="1"/>
  <c r="BF197" i="5" s="1"/>
  <c r="BG197" i="5" s="1"/>
  <c r="BD133" i="5"/>
  <c r="BE133" i="5" s="1"/>
  <c r="BF133" i="5" s="1"/>
  <c r="BG133" i="5" s="1"/>
  <c r="BD51" i="5"/>
  <c r="BE51" i="5" s="1"/>
  <c r="BF51" i="5" s="1"/>
  <c r="BG51" i="5" s="1"/>
  <c r="BD22" i="5"/>
  <c r="BE22" i="5" s="1"/>
  <c r="BF22" i="5" s="1"/>
  <c r="BG22" i="5" s="1"/>
  <c r="BD340" i="5"/>
  <c r="BE340" i="5" s="1"/>
  <c r="BF340" i="5" s="1"/>
  <c r="BG340" i="5" s="1"/>
  <c r="BD262" i="5"/>
  <c r="BE262" i="5" s="1"/>
  <c r="BF262" i="5" s="1"/>
  <c r="BG262" i="5" s="1"/>
  <c r="BD156" i="5"/>
  <c r="BE156" i="5" s="1"/>
  <c r="BF156" i="5" s="1"/>
  <c r="BG156" i="5" s="1"/>
  <c r="BD74" i="5"/>
  <c r="BE74" i="5" s="1"/>
  <c r="BF74" i="5" s="1"/>
  <c r="BG74" i="5" s="1"/>
  <c r="BD12" i="5"/>
  <c r="BE12" i="5" s="1"/>
  <c r="BF12" i="5" s="1"/>
  <c r="BG12" i="5" s="1"/>
  <c r="BD347" i="5"/>
  <c r="BE347" i="5" s="1"/>
  <c r="BF347" i="5" s="1"/>
  <c r="BG347" i="5" s="1"/>
  <c r="BD269" i="5"/>
  <c r="BE269" i="5" s="1"/>
  <c r="BF269" i="5" s="1"/>
  <c r="BG269" i="5" s="1"/>
  <c r="BD163" i="5"/>
  <c r="BE163" i="5" s="1"/>
  <c r="BF163" i="5" s="1"/>
  <c r="BG163" i="5" s="1"/>
  <c r="BD85" i="5"/>
  <c r="BE85" i="5" s="1"/>
  <c r="BF85" i="5" s="1"/>
  <c r="BG85" i="5" s="1"/>
  <c r="BD17" i="5"/>
  <c r="BE17" i="5" s="1"/>
  <c r="BF17" i="5" s="1"/>
  <c r="BG17" i="5" s="1"/>
  <c r="BD103" i="5"/>
  <c r="BE103" i="5" s="1"/>
  <c r="BF103" i="5" s="1"/>
  <c r="BG103" i="5" s="1"/>
  <c r="BD338" i="5"/>
  <c r="BE338" i="5" s="1"/>
  <c r="BF338" i="5" s="1"/>
  <c r="BG338" i="5" s="1"/>
  <c r="BD260" i="5"/>
  <c r="BE260" i="5" s="1"/>
  <c r="BF260" i="5" s="1"/>
  <c r="BG260" i="5" s="1"/>
  <c r="BD154" i="5"/>
  <c r="BE154" i="5" s="1"/>
  <c r="BF154" i="5" s="1"/>
  <c r="BG154" i="5" s="1"/>
  <c r="BD72" i="5"/>
  <c r="BE72" i="5" s="1"/>
  <c r="BF72" i="5" s="1"/>
  <c r="BG72" i="5" s="1"/>
  <c r="BD360" i="5"/>
  <c r="BE360" i="5" s="1"/>
  <c r="BF360" i="5" s="1"/>
  <c r="BG360" i="5" s="1"/>
  <c r="BD282" i="5"/>
  <c r="BE282" i="5" s="1"/>
  <c r="BF282" i="5" s="1"/>
  <c r="BG282" i="5" s="1"/>
  <c r="BD136" i="5"/>
  <c r="BE136" i="5" s="1"/>
  <c r="BF136" i="5" s="1"/>
  <c r="BG136" i="5" s="1"/>
  <c r="BD377" i="5"/>
  <c r="BE377" i="5" s="1"/>
  <c r="BF377" i="5" s="1"/>
  <c r="BG377" i="5" s="1"/>
  <c r="BD299" i="5"/>
  <c r="BE299" i="5" s="1"/>
  <c r="BF299" i="5" s="1"/>
  <c r="BG299" i="5" s="1"/>
  <c r="BD193" i="5"/>
  <c r="BE193" i="5" s="1"/>
  <c r="BF193" i="5" s="1"/>
  <c r="BG193" i="5" s="1"/>
  <c r="BD129" i="5"/>
  <c r="BE129" i="5" s="1"/>
  <c r="BF129" i="5" s="1"/>
  <c r="BG129" i="5" s="1"/>
  <c r="BD47" i="5"/>
  <c r="BE47" i="5" s="1"/>
  <c r="BF47" i="5" s="1"/>
  <c r="BG47" i="5" s="1"/>
  <c r="BG2" i="5"/>
  <c r="BD401" i="5"/>
  <c r="BE401" i="5" s="1"/>
  <c r="BF401" i="5" s="1"/>
  <c r="BG401" i="5" s="1"/>
  <c r="BD373" i="5"/>
  <c r="BE373" i="5" s="1"/>
  <c r="BF373" i="5" s="1"/>
  <c r="BG373" i="5" s="1"/>
  <c r="BD295" i="5"/>
  <c r="BE295" i="5" s="1"/>
  <c r="BF295" i="5" s="1"/>
  <c r="BG295" i="5" s="1"/>
  <c r="BD189" i="5"/>
  <c r="BE189" i="5" s="1"/>
  <c r="BF189" i="5" s="1"/>
  <c r="BG189" i="5" s="1"/>
  <c r="BD125" i="5"/>
  <c r="BE125" i="5" s="1"/>
  <c r="BF125" i="5" s="1"/>
  <c r="BG125" i="5" s="1"/>
  <c r="BD43" i="5"/>
  <c r="BE43" i="5" s="1"/>
  <c r="BF43" i="5" s="1"/>
  <c r="BG43" i="5" s="1"/>
  <c r="BD398" i="5"/>
  <c r="BE398" i="5" s="1"/>
  <c r="BF398" i="5" s="1"/>
  <c r="BG398" i="5" s="1"/>
  <c r="BD332" i="5"/>
  <c r="BE332" i="5" s="1"/>
  <c r="BF332" i="5" s="1"/>
  <c r="BG332" i="5" s="1"/>
  <c r="BD254" i="5"/>
  <c r="BE254" i="5" s="1"/>
  <c r="BF254" i="5" s="1"/>
  <c r="BG254" i="5" s="1"/>
  <c r="BD148" i="5"/>
  <c r="BE148" i="5" s="1"/>
  <c r="BF148" i="5" s="1"/>
  <c r="BG148" i="5" s="1"/>
  <c r="BD66" i="5"/>
  <c r="BE66" i="5" s="1"/>
  <c r="BF66" i="5" s="1"/>
  <c r="BG66" i="5" s="1"/>
  <c r="BD384" i="5"/>
  <c r="BE384" i="5" s="1"/>
  <c r="BF384" i="5" s="1"/>
  <c r="BG384" i="5" s="1"/>
  <c r="BD339" i="5"/>
  <c r="BE339" i="5" s="1"/>
  <c r="BF339" i="5" s="1"/>
  <c r="BG339" i="5" s="1"/>
  <c r="BD261" i="5"/>
  <c r="BE261" i="5" s="1"/>
  <c r="BF261" i="5" s="1"/>
  <c r="BG261" i="5" s="1"/>
  <c r="BD155" i="5"/>
  <c r="BE155" i="5" s="1"/>
  <c r="BF155" i="5" s="1"/>
  <c r="BG155" i="5" s="1"/>
  <c r="BD73" i="5"/>
  <c r="BE73" i="5" s="1"/>
  <c r="BF73" i="5" s="1"/>
  <c r="BG73" i="5" s="1"/>
  <c r="BD376" i="5"/>
  <c r="BE376" i="5" s="1"/>
  <c r="BF376" i="5" s="1"/>
  <c r="BG376" i="5" s="1"/>
  <c r="BD70" i="5"/>
  <c r="BE70" i="5" s="1"/>
  <c r="BF70" i="5" s="1"/>
  <c r="BG70" i="5" s="1"/>
  <c r="BD395" i="5"/>
  <c r="BE395" i="5" s="1"/>
  <c r="BF395" i="5" s="1"/>
  <c r="BG395" i="5" s="1"/>
  <c r="BD330" i="5"/>
  <c r="BE330" i="5" s="1"/>
  <c r="BF330" i="5" s="1"/>
  <c r="BG330" i="5" s="1"/>
  <c r="BD252" i="5"/>
  <c r="BE252" i="5" s="1"/>
  <c r="BF252" i="5" s="1"/>
  <c r="BG252" i="5" s="1"/>
  <c r="BD146" i="5"/>
  <c r="BE146" i="5" s="1"/>
  <c r="BF146" i="5" s="1"/>
  <c r="BG146" i="5" s="1"/>
  <c r="BD64" i="5"/>
  <c r="BE64" i="5" s="1"/>
  <c r="BF64" i="5" s="1"/>
  <c r="BG64" i="5" s="1"/>
  <c r="BD352" i="5"/>
  <c r="BE352" i="5" s="1"/>
  <c r="BF352" i="5" s="1"/>
  <c r="BG352" i="5" s="1"/>
  <c r="BD274" i="5"/>
  <c r="BE274" i="5" s="1"/>
  <c r="BF274" i="5" s="1"/>
  <c r="BG274" i="5" s="1"/>
  <c r="BD120" i="5"/>
  <c r="BE120" i="5" s="1"/>
  <c r="BF120" i="5" s="1"/>
  <c r="BG120" i="5" s="1"/>
  <c r="BD369" i="5"/>
  <c r="BE369" i="5" s="1"/>
  <c r="BF369" i="5" s="1"/>
  <c r="BG369" i="5" s="1"/>
  <c r="BD291" i="5"/>
  <c r="BE291" i="5" s="1"/>
  <c r="BF291" i="5" s="1"/>
  <c r="BG291" i="5" s="1"/>
  <c r="BD185" i="5"/>
  <c r="BE185" i="5" s="1"/>
  <c r="BF185" i="5" s="1"/>
  <c r="BG185" i="5" s="1"/>
  <c r="BD121" i="5"/>
  <c r="BE121" i="5" s="1"/>
  <c r="BF121" i="5" s="1"/>
  <c r="BG121" i="5" s="1"/>
  <c r="BD39" i="5"/>
  <c r="BE39" i="5" s="1"/>
  <c r="BF39" i="5" s="1"/>
  <c r="BG39" i="5" s="1"/>
  <c r="BD406" i="5"/>
  <c r="BE406" i="5" s="1"/>
  <c r="BF406" i="5" s="1"/>
  <c r="BG406" i="5" s="1"/>
  <c r="BD407" i="5"/>
  <c r="BE407" i="5" s="1"/>
  <c r="BF407" i="5" s="1"/>
  <c r="BG407" i="5" s="1"/>
  <c r="BD365" i="5"/>
  <c r="BE365" i="5" s="1"/>
  <c r="BF365" i="5" s="1"/>
  <c r="BG365" i="5" s="1"/>
  <c r="BD287" i="5"/>
  <c r="BE287" i="5" s="1"/>
  <c r="BF287" i="5" s="1"/>
  <c r="BG287" i="5" s="1"/>
  <c r="BD181" i="5"/>
  <c r="BE181" i="5" s="1"/>
  <c r="BF181" i="5" s="1"/>
  <c r="BG181" i="5" s="1"/>
  <c r="BD117" i="5"/>
  <c r="BE117" i="5" s="1"/>
  <c r="BF117" i="5" s="1"/>
  <c r="BG117" i="5" s="1"/>
  <c r="BD35" i="5"/>
  <c r="BE35" i="5" s="1"/>
  <c r="BF35" i="5" s="1"/>
  <c r="BG35" i="5" s="1"/>
  <c r="BD388" i="5"/>
  <c r="BE388" i="5" s="1"/>
  <c r="BF388" i="5" s="1"/>
  <c r="BG388" i="5" s="1"/>
  <c r="BD324" i="5"/>
  <c r="BE324" i="5" s="1"/>
  <c r="BF324" i="5" s="1"/>
  <c r="BG324" i="5" s="1"/>
  <c r="BD204" i="5"/>
  <c r="BE204" i="5" s="1"/>
  <c r="BF204" i="5" s="1"/>
  <c r="BG204" i="5" s="1"/>
  <c r="BD140" i="5"/>
  <c r="BE140" i="5" s="1"/>
  <c r="BF140" i="5" s="1"/>
  <c r="BG140" i="5" s="1"/>
  <c r="BD58" i="5"/>
  <c r="BE58" i="5" s="1"/>
  <c r="BF58" i="5" s="1"/>
  <c r="BG58" i="5" s="1"/>
  <c r="BD396" i="5"/>
  <c r="BE396" i="5" s="1"/>
  <c r="BF396" i="5" s="1"/>
  <c r="BG396" i="5" s="1"/>
  <c r="BD331" i="5"/>
  <c r="BE331" i="5" s="1"/>
  <c r="BF331" i="5" s="1"/>
  <c r="BG331" i="5" s="1"/>
  <c r="BD253" i="5"/>
  <c r="BE253" i="5" s="1"/>
  <c r="BF253" i="5" s="1"/>
  <c r="BG253" i="5" s="1"/>
  <c r="BD147" i="5"/>
  <c r="BE147" i="5" s="1"/>
  <c r="BF147" i="5" s="1"/>
  <c r="BG147" i="5" s="1"/>
  <c r="BD65" i="5"/>
  <c r="BE65" i="5" s="1"/>
  <c r="BF65" i="5" s="1"/>
  <c r="BG65" i="5" s="1"/>
  <c r="BD266" i="5"/>
  <c r="BE266" i="5" s="1"/>
  <c r="BF266" i="5" s="1"/>
  <c r="BG266" i="5" s="1"/>
  <c r="BD54" i="5"/>
  <c r="BE54" i="5" s="1"/>
  <c r="BF54" i="5" s="1"/>
  <c r="BG54" i="5" s="1"/>
  <c r="BD386" i="5"/>
  <c r="BE386" i="5" s="1"/>
  <c r="BF386" i="5" s="1"/>
  <c r="BG386" i="5" s="1"/>
  <c r="BD312" i="5"/>
  <c r="BE312" i="5" s="1"/>
  <c r="BF312" i="5" s="1"/>
  <c r="BG312" i="5" s="1"/>
  <c r="BD202" i="5"/>
  <c r="BE202" i="5" s="1"/>
  <c r="BF202" i="5" s="1"/>
  <c r="BG202" i="5" s="1"/>
  <c r="BD138" i="5"/>
  <c r="BE138" i="5" s="1"/>
  <c r="BF138" i="5" s="1"/>
  <c r="BG138" i="5" s="1"/>
  <c r="BD56" i="5"/>
  <c r="BE56" i="5" s="1"/>
  <c r="BF56" i="5" s="1"/>
  <c r="BG56" i="5" s="1"/>
  <c r="BD344" i="5"/>
  <c r="BE344" i="5" s="1"/>
  <c r="BF344" i="5" s="1"/>
  <c r="BG344" i="5" s="1"/>
  <c r="BD258" i="5"/>
  <c r="BE258" i="5" s="1"/>
  <c r="BF258" i="5" s="1"/>
  <c r="BG258" i="5" s="1"/>
  <c r="BD90" i="5"/>
  <c r="BE90" i="5" s="1"/>
  <c r="BF90" i="5" s="1"/>
  <c r="BG90" i="5" s="1"/>
  <c r="BD361" i="5"/>
  <c r="BE361" i="5" s="1"/>
  <c r="BF361" i="5" s="1"/>
  <c r="BG361" i="5" s="1"/>
  <c r="BD283" i="5"/>
  <c r="BE283" i="5" s="1"/>
  <c r="BF283" i="5" s="1"/>
  <c r="BG283" i="5" s="1"/>
  <c r="BD177" i="5"/>
  <c r="BE177" i="5" s="1"/>
  <c r="BF177" i="5" s="1"/>
  <c r="BG177" i="5" s="1"/>
  <c r="BD104" i="5"/>
  <c r="BE104" i="5" s="1"/>
  <c r="BF104" i="5" s="1"/>
  <c r="BG104" i="5" s="1"/>
  <c r="BD31" i="5"/>
  <c r="BE31" i="5" s="1"/>
  <c r="BF31" i="5" s="1"/>
  <c r="BG31" i="5" s="1"/>
  <c r="BD397" i="5"/>
  <c r="BE397" i="5" s="1"/>
  <c r="BF397" i="5" s="1"/>
  <c r="BG397" i="5" s="1"/>
  <c r="BD357" i="5"/>
  <c r="BE357" i="5" s="1"/>
  <c r="BF357" i="5" s="1"/>
  <c r="BG357" i="5" s="1"/>
  <c r="BD279" i="5"/>
  <c r="BE279" i="5" s="1"/>
  <c r="BF279" i="5" s="1"/>
  <c r="BG279" i="5" s="1"/>
  <c r="BD173" i="5"/>
  <c r="BE173" i="5" s="1"/>
  <c r="BF173" i="5" s="1"/>
  <c r="BG173" i="5" s="1"/>
  <c r="BD100" i="5"/>
  <c r="BE100" i="5" s="1"/>
  <c r="BF100" i="5" s="1"/>
  <c r="BG100" i="5" s="1"/>
  <c r="BD27" i="5"/>
  <c r="BE27" i="5" s="1"/>
  <c r="BF27" i="5" s="1"/>
  <c r="BG27" i="5" s="1"/>
  <c r="BD380" i="5"/>
  <c r="BE380" i="5" s="1"/>
  <c r="BF380" i="5" s="1"/>
  <c r="BG380" i="5" s="1"/>
  <c r="BD306" i="5"/>
  <c r="BE306" i="5" s="1"/>
  <c r="BF306" i="5" s="1"/>
  <c r="BG306" i="5" s="1"/>
  <c r="BD196" i="5"/>
  <c r="BE196" i="5" s="1"/>
  <c r="BF196" i="5" s="1"/>
  <c r="BG196" i="5" s="1"/>
  <c r="BD132" i="5"/>
  <c r="BE132" i="5" s="1"/>
  <c r="BF132" i="5" s="1"/>
  <c r="BG132" i="5" s="1"/>
  <c r="BD50" i="5"/>
  <c r="BE50" i="5" s="1"/>
  <c r="BF50" i="5" s="1"/>
  <c r="BG50" i="5" s="1"/>
  <c r="BD387" i="5"/>
  <c r="BE387" i="5" s="1"/>
  <c r="BF387" i="5" s="1"/>
  <c r="BG387" i="5" s="1"/>
  <c r="BD313" i="5"/>
  <c r="BE313" i="5" s="1"/>
  <c r="BF313" i="5" s="1"/>
  <c r="BG313" i="5" s="1"/>
  <c r="BD203" i="5"/>
  <c r="BE203" i="5" s="1"/>
  <c r="BF203" i="5" s="1"/>
  <c r="BG203" i="5" s="1"/>
  <c r="BD139" i="5"/>
  <c r="BE139" i="5" s="1"/>
  <c r="BF139" i="5" s="1"/>
  <c r="BG139" i="5" s="1"/>
  <c r="BD57" i="5"/>
  <c r="BE57" i="5" s="1"/>
  <c r="BF57" i="5" s="1"/>
  <c r="BG57" i="5" s="1"/>
  <c r="BD200" i="5"/>
  <c r="BE200" i="5" s="1"/>
  <c r="BF200" i="5" s="1"/>
  <c r="BG200" i="5" s="1"/>
  <c r="BD38" i="5"/>
  <c r="BE38" i="5" s="1"/>
  <c r="BF38" i="5" s="1"/>
  <c r="BG38" i="5" s="1"/>
  <c r="BD378" i="5"/>
  <c r="BE378" i="5" s="1"/>
  <c r="BF378" i="5" s="1"/>
  <c r="BG378" i="5" s="1"/>
  <c r="BD300" i="5"/>
  <c r="BE300" i="5" s="1"/>
  <c r="BF300" i="5" s="1"/>
  <c r="BG300" i="5" s="1"/>
  <c r="BD194" i="5"/>
  <c r="BE194" i="5" s="1"/>
  <c r="BF194" i="5" s="1"/>
  <c r="BG194" i="5" s="1"/>
  <c r="BD130" i="5"/>
  <c r="BE130" i="5" s="1"/>
  <c r="BF130" i="5" s="1"/>
  <c r="BG130" i="5" s="1"/>
  <c r="BD48" i="5"/>
  <c r="BE48" i="5" s="1"/>
  <c r="BF48" i="5" s="1"/>
  <c r="BG48" i="5" s="1"/>
  <c r="BD336" i="5"/>
  <c r="BE336" i="5" s="1"/>
  <c r="BF336" i="5" s="1"/>
  <c r="BG336" i="5" s="1"/>
  <c r="BD250" i="5"/>
  <c r="BE250" i="5" s="1"/>
  <c r="BF250" i="5" s="1"/>
  <c r="BG250" i="5" s="1"/>
  <c r="BD62" i="5"/>
  <c r="BE62" i="5" s="1"/>
  <c r="BF62" i="5" s="1"/>
  <c r="BG62" i="5" s="1"/>
  <c r="BD353" i="5"/>
  <c r="BE353" i="5" s="1"/>
  <c r="BF353" i="5" s="1"/>
  <c r="BG353" i="5" s="1"/>
  <c r="BD275" i="5"/>
  <c r="BE275" i="5" s="1"/>
  <c r="BF275" i="5" s="1"/>
  <c r="BG275" i="5" s="1"/>
  <c r="BD169" i="5"/>
  <c r="BE169" i="5" s="1"/>
  <c r="BF169" i="5" s="1"/>
  <c r="BG169" i="5" s="1"/>
  <c r="BD96" i="5"/>
  <c r="BE96" i="5" s="1"/>
  <c r="BF96" i="5" s="1"/>
  <c r="BG96" i="5" s="1"/>
  <c r="BD23" i="5"/>
  <c r="BE23" i="5" s="1"/>
  <c r="BF23" i="5" s="1"/>
  <c r="BG23" i="5" s="1"/>
  <c r="BD404" i="5"/>
  <c r="BE404" i="5" s="1"/>
  <c r="BF404" i="5" s="1"/>
  <c r="BG404" i="5" s="1"/>
  <c r="BD393" i="5"/>
  <c r="BE393" i="5" s="1"/>
  <c r="BF393" i="5" s="1"/>
  <c r="BG393" i="5" s="1"/>
  <c r="BD349" i="5"/>
  <c r="BE349" i="5" s="1"/>
  <c r="BF349" i="5" s="1"/>
  <c r="BG349" i="5" s="1"/>
  <c r="BD271" i="5"/>
  <c r="BE271" i="5" s="1"/>
  <c r="BF271" i="5" s="1"/>
  <c r="BG271" i="5" s="1"/>
  <c r="BD165" i="5"/>
  <c r="BE165" i="5" s="1"/>
  <c r="BF165" i="5" s="1"/>
  <c r="BG165" i="5" s="1"/>
  <c r="BD87" i="5"/>
  <c r="BE87" i="5" s="1"/>
  <c r="BF87" i="5" s="1"/>
  <c r="BG87" i="5" s="1"/>
  <c r="BD19" i="5"/>
  <c r="BE19" i="5" s="1"/>
  <c r="BF19" i="5" s="1"/>
  <c r="BG19" i="5" s="1"/>
  <c r="BD372" i="5"/>
  <c r="BE372" i="5" s="1"/>
  <c r="BF372" i="5" s="1"/>
  <c r="BG372" i="5" s="1"/>
  <c r="BD294" i="5"/>
  <c r="BE294" i="5" s="1"/>
  <c r="BF294" i="5" s="1"/>
  <c r="BG294" i="5" s="1"/>
  <c r="BD188" i="5"/>
  <c r="BE188" i="5" s="1"/>
  <c r="BF188" i="5" s="1"/>
  <c r="BG188" i="5" s="1"/>
  <c r="BD124" i="5"/>
  <c r="BE124" i="5" s="1"/>
  <c r="BF124" i="5" s="1"/>
  <c r="BG124" i="5" s="1"/>
  <c r="BD42" i="5"/>
  <c r="BE42" i="5" s="1"/>
  <c r="BF42" i="5" s="1"/>
  <c r="BG42" i="5" s="1"/>
  <c r="BD379" i="5"/>
  <c r="BE379" i="5" s="1"/>
  <c r="BF379" i="5" s="1"/>
  <c r="BG379" i="5" s="1"/>
  <c r="BD301" i="5"/>
  <c r="BE301" i="5" s="1"/>
  <c r="BF301" i="5" s="1"/>
  <c r="BG301" i="5" s="1"/>
  <c r="BD195" i="5"/>
  <c r="BE195" i="5" s="1"/>
  <c r="BF195" i="5" s="1"/>
  <c r="BG195" i="5" s="1"/>
  <c r="BD131" i="5"/>
  <c r="BE131" i="5" s="1"/>
  <c r="BF131" i="5" s="1"/>
  <c r="BG131" i="5" s="1"/>
  <c r="BD49" i="5"/>
  <c r="BE49" i="5" s="1"/>
  <c r="BF49" i="5" s="1"/>
  <c r="BG49" i="5" s="1"/>
  <c r="BD184" i="5"/>
  <c r="BE184" i="5" s="1"/>
  <c r="BF184" i="5" s="1"/>
  <c r="BG184" i="5" s="1"/>
  <c r="BD14" i="5"/>
  <c r="BE14" i="5" s="1"/>
  <c r="BF14" i="5" s="1"/>
  <c r="BG14" i="5" s="1"/>
  <c r="BD370" i="5"/>
  <c r="BE370" i="5" s="1"/>
  <c r="BF370" i="5" s="1"/>
  <c r="BG370" i="5" s="1"/>
  <c r="BD292" i="5"/>
  <c r="BE292" i="5" s="1"/>
  <c r="BF292" i="5" s="1"/>
  <c r="BG292" i="5" s="1"/>
  <c r="BD186" i="5"/>
  <c r="BE186" i="5" s="1"/>
  <c r="BF186" i="5" s="1"/>
  <c r="BG186" i="5" s="1"/>
  <c r="BD122" i="5"/>
  <c r="BE122" i="5" s="1"/>
  <c r="BF122" i="5" s="1"/>
  <c r="BG122" i="5" s="1"/>
  <c r="BD40" i="5"/>
  <c r="BE40" i="5" s="1"/>
  <c r="BF40" i="5" s="1"/>
  <c r="BG40" i="5" s="1"/>
  <c r="BD328" i="5"/>
  <c r="BE328" i="5" s="1"/>
  <c r="BF328" i="5" s="1"/>
  <c r="BG328" i="5" s="1"/>
  <c r="BD192" i="5"/>
  <c r="BE192" i="5" s="1"/>
  <c r="BF192" i="5" s="1"/>
  <c r="BG192" i="5" s="1"/>
  <c r="BD46" i="5"/>
  <c r="BE46" i="5" s="1"/>
  <c r="BF46" i="5" s="1"/>
  <c r="BG46" i="5" s="1"/>
  <c r="BD345" i="5"/>
  <c r="BE345" i="5" s="1"/>
  <c r="BF345" i="5" s="1"/>
  <c r="BG345" i="5" s="1"/>
  <c r="BD267" i="5"/>
  <c r="BE267" i="5" s="1"/>
  <c r="BF267" i="5" s="1"/>
  <c r="BG267" i="5" s="1"/>
  <c r="BD161" i="5"/>
  <c r="BE161" i="5" s="1"/>
  <c r="BF161" i="5" s="1"/>
  <c r="BG161" i="5" s="1"/>
  <c r="BD83" i="5"/>
  <c r="BE83" i="5" s="1"/>
  <c r="BF83" i="5" s="1"/>
  <c r="BG83" i="5" s="1"/>
  <c r="BD15" i="5"/>
  <c r="BE15" i="5" s="1"/>
  <c r="BF15" i="5" s="1"/>
  <c r="BG15" i="5" s="1"/>
  <c r="BD400" i="5"/>
  <c r="BE400" i="5" s="1"/>
  <c r="BF400" i="5" s="1"/>
  <c r="BG400" i="5" s="1"/>
  <c r="BD405" i="5"/>
  <c r="BE405" i="5" s="1"/>
  <c r="BF405" i="5" s="1"/>
  <c r="BG405" i="5" s="1"/>
  <c r="BD341" i="5"/>
  <c r="BE341" i="5" s="1"/>
  <c r="BF341" i="5" s="1"/>
  <c r="BG341" i="5" s="1"/>
  <c r="BD263" i="5"/>
  <c r="BE263" i="5" s="1"/>
  <c r="BF263" i="5" s="1"/>
  <c r="BG263" i="5" s="1"/>
  <c r="BD157" i="5"/>
  <c r="BE157" i="5" s="1"/>
  <c r="BF157" i="5" s="1"/>
  <c r="BG157" i="5" s="1"/>
  <c r="BD75" i="5"/>
  <c r="BE75" i="5" s="1"/>
  <c r="BF75" i="5" s="1"/>
  <c r="BG75" i="5" s="1"/>
  <c r="BD10" i="5"/>
  <c r="BE10" i="5" s="1"/>
  <c r="BF10" i="5" s="1"/>
  <c r="BG10" i="5" s="1"/>
  <c r="BD364" i="5"/>
  <c r="BE364" i="5" s="1"/>
  <c r="BF364" i="5" s="1"/>
  <c r="BG364" i="5" s="1"/>
  <c r="BD286" i="5"/>
  <c r="BE286" i="5" s="1"/>
  <c r="BF286" i="5" s="1"/>
  <c r="BG286" i="5" s="1"/>
  <c r="BD180" i="5"/>
  <c r="BE180" i="5" s="1"/>
  <c r="BF180" i="5" s="1"/>
  <c r="BG180" i="5" s="1"/>
  <c r="BD116" i="5"/>
  <c r="BE116" i="5" s="1"/>
  <c r="BF116" i="5" s="1"/>
  <c r="BG116" i="5" s="1"/>
  <c r="BD34" i="5"/>
  <c r="BE34" i="5" s="1"/>
  <c r="BF34" i="5" s="1"/>
  <c r="BG34" i="5" s="1"/>
  <c r="BD371" i="5"/>
  <c r="BE371" i="5" s="1"/>
  <c r="BF371" i="5" s="1"/>
  <c r="BG371" i="5" s="1"/>
  <c r="BD293" i="5"/>
  <c r="BE293" i="5" s="1"/>
  <c r="BF293" i="5" s="1"/>
  <c r="BG293" i="5" s="1"/>
  <c r="BD187" i="5"/>
  <c r="BE187" i="5" s="1"/>
  <c r="BF187" i="5" s="1"/>
  <c r="BG187" i="5" s="1"/>
  <c r="BD123" i="5"/>
  <c r="BE123" i="5" s="1"/>
  <c r="BF123" i="5" s="1"/>
  <c r="BG123" i="5" s="1"/>
  <c r="BD41" i="5"/>
  <c r="BE41" i="5" s="1"/>
  <c r="BF41" i="5" s="1"/>
  <c r="BG41" i="5" s="1"/>
  <c r="BD168" i="5"/>
  <c r="BE168" i="5" s="1"/>
  <c r="BF168" i="5" s="1"/>
  <c r="BG168" i="5" s="1"/>
  <c r="BD362" i="5"/>
  <c r="BE362" i="5" s="1"/>
  <c r="BF362" i="5" s="1"/>
  <c r="BG362" i="5" s="1"/>
  <c r="BD284" i="5"/>
  <c r="BE284" i="5" s="1"/>
  <c r="BF284" i="5" s="1"/>
  <c r="BG284" i="5" s="1"/>
  <c r="BD178" i="5"/>
  <c r="BE178" i="5" s="1"/>
  <c r="BF178" i="5" s="1"/>
  <c r="BG178" i="5" s="1"/>
  <c r="BD105" i="5"/>
  <c r="BE105" i="5" s="1"/>
  <c r="BF105" i="5" s="1"/>
  <c r="BG105" i="5" s="1"/>
  <c r="BD32" i="5"/>
  <c r="BE32" i="5" s="1"/>
  <c r="BF32" i="5" s="1"/>
  <c r="BG32" i="5" s="1"/>
  <c r="BD310" i="5"/>
  <c r="BE310" i="5" s="1"/>
  <c r="BF310" i="5" s="1"/>
  <c r="BG310" i="5" s="1"/>
  <c r="BD176" i="5"/>
  <c r="BE176" i="5" s="1"/>
  <c r="BF176" i="5" s="1"/>
  <c r="BG176" i="5" s="1"/>
  <c r="BD30" i="5"/>
  <c r="BE30" i="5" s="1"/>
  <c r="BF30" i="5" s="1"/>
  <c r="BG30" i="5" s="1"/>
  <c r="BD337" i="5"/>
  <c r="BE337" i="5" s="1"/>
  <c r="BF337" i="5" s="1"/>
  <c r="BG337" i="5" s="1"/>
  <c r="BD259" i="5"/>
  <c r="BE259" i="5" s="1"/>
  <c r="BF259" i="5" s="1"/>
  <c r="BG259" i="5" s="1"/>
  <c r="BD153" i="5"/>
  <c r="BE153" i="5" s="1"/>
  <c r="BF153" i="5" s="1"/>
  <c r="BG153" i="5" s="1"/>
  <c r="BD71" i="5"/>
  <c r="BE71" i="5" s="1"/>
  <c r="BF71" i="5" s="1"/>
  <c r="BG71" i="5" s="1"/>
  <c r="BD392" i="5"/>
  <c r="BE392" i="5" s="1"/>
  <c r="BF392" i="5" s="1"/>
  <c r="BG392" i="5" s="1"/>
  <c r="BE432" i="5"/>
  <c r="BE435" i="5" s="1"/>
  <c r="BF432" i="5"/>
  <c r="BG432" i="5" s="1"/>
  <c r="AD406" i="5"/>
  <c r="AA406" i="5"/>
  <c r="S393" i="5"/>
  <c r="AE393" i="5" s="1"/>
  <c r="T336" i="5"/>
  <c r="S336" i="5"/>
  <c r="Y345" i="5"/>
  <c r="AC345" i="5"/>
  <c r="AC409" i="5" s="1"/>
  <c r="AC421" i="5" s="1"/>
  <c r="V345" i="5"/>
  <c r="V409" i="5" s="1"/>
  <c r="V421" i="5" s="1"/>
  <c r="Z345" i="5"/>
  <c r="W345" i="5"/>
  <c r="X345" i="5"/>
  <c r="AE348" i="5"/>
  <c r="AA274" i="5"/>
  <c r="AV274" i="5" s="1"/>
  <c r="V274" i="5"/>
  <c r="AQ274" i="5" s="1"/>
  <c r="AB245" i="5"/>
  <c r="AT276" i="5"/>
  <c r="AT269" i="5" s="1"/>
  <c r="AE230" i="5"/>
  <c r="AE225" i="5"/>
  <c r="AE220" i="5"/>
  <c r="AE248" i="5"/>
  <c r="R245" i="5"/>
  <c r="AE199" i="5"/>
  <c r="AE189" i="5"/>
  <c r="S263" i="5"/>
  <c r="AE263" i="5" s="1"/>
  <c r="AE201" i="5"/>
  <c r="T192" i="5"/>
  <c r="AE138" i="5"/>
  <c r="AE140" i="5"/>
  <c r="AE117" i="5"/>
  <c r="P318" i="5"/>
  <c r="L110" i="5"/>
  <c r="Y74" i="5"/>
  <c r="W101" i="5"/>
  <c r="AE102" i="5"/>
  <c r="AE85" i="5"/>
  <c r="T73" i="5"/>
  <c r="T96" i="5"/>
  <c r="T107" i="5" s="1"/>
  <c r="T396" i="5"/>
  <c r="S396" i="5"/>
  <c r="T395" i="5"/>
  <c r="S395" i="5"/>
  <c r="T290" i="5"/>
  <c r="AO290" i="5" s="1"/>
  <c r="S277" i="5"/>
  <c r="AH277" i="5" s="1"/>
  <c r="AI277" i="5" s="1"/>
  <c r="T277" i="5"/>
  <c r="AO277" i="5" s="1"/>
  <c r="S249" i="5"/>
  <c r="T249" i="5"/>
  <c r="AE192" i="5"/>
  <c r="T255" i="5"/>
  <c r="S255" i="5"/>
  <c r="AE205" i="5"/>
  <c r="AE153" i="5"/>
  <c r="T182" i="5"/>
  <c r="S104" i="5"/>
  <c r="T104" i="5"/>
  <c r="S55" i="5"/>
  <c r="T55" i="5"/>
  <c r="AB126" i="5"/>
  <c r="U126" i="5"/>
  <c r="W126" i="5"/>
  <c r="H110" i="5"/>
  <c r="U74" i="5"/>
  <c r="AB74" i="5"/>
  <c r="W66" i="5"/>
  <c r="AA66" i="5"/>
  <c r="X66" i="5"/>
  <c r="U66" i="5"/>
  <c r="U56" i="5"/>
  <c r="X56" i="5"/>
  <c r="AB56" i="5"/>
  <c r="AE52" i="5"/>
  <c r="AA126" i="5"/>
  <c r="AE237" i="5"/>
  <c r="AE229" i="5"/>
  <c r="AE243" i="5"/>
  <c r="AE240" i="5"/>
  <c r="AE176" i="5"/>
  <c r="AE168" i="5"/>
  <c r="G318" i="5"/>
  <c r="G454" i="5" s="1"/>
  <c r="G469" i="5" s="1"/>
  <c r="AA389" i="5"/>
  <c r="AC389" i="5"/>
  <c r="X389" i="5"/>
  <c r="Z300" i="5"/>
  <c r="U300" i="5"/>
  <c r="AC300" i="5"/>
  <c r="AE182" i="5"/>
  <c r="AE241" i="5"/>
  <c r="AE236" i="5"/>
  <c r="AE224" i="5"/>
  <c r="AE215" i="5"/>
  <c r="AE197" i="5"/>
  <c r="AE174" i="5"/>
  <c r="N110" i="5"/>
  <c r="N454" i="5" s="1"/>
  <c r="N469" i="5" s="1"/>
  <c r="T444" i="5"/>
  <c r="AE444" i="5" s="1"/>
  <c r="V394" i="5"/>
  <c r="AA394" i="5"/>
  <c r="AC394" i="5"/>
  <c r="W394" i="5"/>
  <c r="S326" i="5"/>
  <c r="AE326" i="5" s="1"/>
  <c r="T326" i="5"/>
  <c r="S299" i="5"/>
  <c r="AE299" i="5" s="1"/>
  <c r="T299" i="5"/>
  <c r="T289" i="5"/>
  <c r="AO289" i="5" s="1"/>
  <c r="S289" i="5"/>
  <c r="R432" i="5"/>
  <c r="R435" i="5" s="1"/>
  <c r="S405" i="5"/>
  <c r="AE405" i="5" s="1"/>
  <c r="T405" i="5"/>
  <c r="T413" i="5"/>
  <c r="S413" i="5"/>
  <c r="AE413" i="5" s="1"/>
  <c r="U398" i="5"/>
  <c r="AC398" i="5"/>
  <c r="AD398" i="5"/>
  <c r="S401" i="5"/>
  <c r="S397" i="5"/>
  <c r="AE397" i="5" s="1"/>
  <c r="AD394" i="5"/>
  <c r="X402" i="5"/>
  <c r="AB398" i="5"/>
  <c r="AD345" i="5"/>
  <c r="U345" i="5"/>
  <c r="AE298" i="5"/>
  <c r="V300" i="5"/>
  <c r="AX282" i="5"/>
  <c r="AE221" i="5"/>
  <c r="V245" i="5"/>
  <c r="AE152" i="5"/>
  <c r="AC74" i="5"/>
  <c r="X74" i="5"/>
  <c r="Y56" i="5"/>
  <c r="AE48" i="5"/>
  <c r="AE391" i="5"/>
  <c r="AE387" i="5"/>
  <c r="AE388" i="5"/>
  <c r="Y353" i="5"/>
  <c r="Y409" i="5" s="1"/>
  <c r="Y421" i="5" s="1"/>
  <c r="U349" i="5"/>
  <c r="W329" i="5"/>
  <c r="AE293" i="5"/>
  <c r="AD288" i="5"/>
  <c r="AY288" i="5" s="1"/>
  <c r="Y245" i="5"/>
  <c r="Z270" i="5"/>
  <c r="V250" i="5"/>
  <c r="AE228" i="5"/>
  <c r="AE223" i="5"/>
  <c r="AE213" i="5"/>
  <c r="U270" i="5"/>
  <c r="AE259" i="5"/>
  <c r="U250" i="5"/>
  <c r="AD245" i="5"/>
  <c r="AA245" i="5"/>
  <c r="Y254" i="5"/>
  <c r="AE193" i="5"/>
  <c r="AA254" i="5"/>
  <c r="AE185" i="5"/>
  <c r="AE180" i="5"/>
  <c r="AE146" i="5"/>
  <c r="AE170" i="5"/>
  <c r="AE124" i="5"/>
  <c r="AE90" i="5"/>
  <c r="W93" i="5"/>
  <c r="AE72" i="5"/>
  <c r="AE64" i="5"/>
  <c r="AE54" i="5"/>
  <c r="AE43" i="5"/>
  <c r="AE39" i="5"/>
  <c r="AE35" i="5"/>
  <c r="AE31" i="5"/>
  <c r="AE27" i="5"/>
  <c r="AE23" i="5"/>
  <c r="AE19" i="5"/>
  <c r="AE15" i="5"/>
  <c r="AE11" i="5"/>
  <c r="O318" i="5"/>
  <c r="AE404" i="5"/>
  <c r="S400" i="5"/>
  <c r="AE400" i="5" s="1"/>
  <c r="AE390" i="5"/>
  <c r="Z349" i="5"/>
  <c r="AE341" i="5"/>
  <c r="T332" i="5"/>
  <c r="AE332" i="5" s="1"/>
  <c r="Y333" i="5"/>
  <c r="U329" i="5"/>
  <c r="AB288" i="5"/>
  <c r="AW288" i="5" s="1"/>
  <c r="Z288" i="5"/>
  <c r="AU288" i="5" s="1"/>
  <c r="T281" i="5"/>
  <c r="AO281" i="5" s="1"/>
  <c r="V270" i="5"/>
  <c r="AE218" i="5"/>
  <c r="AE212" i="5"/>
  <c r="S268" i="5"/>
  <c r="Z245" i="5"/>
  <c r="W245" i="5"/>
  <c r="AE202" i="5"/>
  <c r="T259" i="5"/>
  <c r="U254" i="5"/>
  <c r="AB258" i="5"/>
  <c r="S265" i="5"/>
  <c r="AE265" i="5" s="1"/>
  <c r="AD258" i="5"/>
  <c r="AD254" i="5"/>
  <c r="AE133" i="5"/>
  <c r="AE181" i="5"/>
  <c r="AE134" i="5"/>
  <c r="AE129" i="5"/>
  <c r="AE142" i="5"/>
  <c r="Z131" i="5"/>
  <c r="I454" i="5"/>
  <c r="I469" i="5" s="1"/>
  <c r="AE75" i="5"/>
  <c r="AE59" i="5"/>
  <c r="T151" i="5"/>
  <c r="AE151" i="5" s="1"/>
  <c r="O454" i="5"/>
  <c r="O469" i="5" s="1"/>
  <c r="AE103" i="5"/>
  <c r="P110" i="5"/>
  <c r="P454" i="5" s="1"/>
  <c r="P469" i="5" s="1"/>
  <c r="AA70" i="5"/>
  <c r="Y93" i="5"/>
  <c r="AE57" i="5"/>
  <c r="AE58" i="5"/>
  <c r="K318" i="5"/>
  <c r="K454" i="5" s="1"/>
  <c r="K469" i="5" s="1"/>
  <c r="AN290" i="5"/>
  <c r="AZ290" i="5" s="1"/>
  <c r="AH290" i="5"/>
  <c r="AI290" i="5" s="1"/>
  <c r="AN307" i="5"/>
  <c r="AN277" i="5"/>
  <c r="AZ277" i="5" s="1"/>
  <c r="AN281" i="5"/>
  <c r="AZ281" i="5" s="1"/>
  <c r="AH281" i="5"/>
  <c r="AI281" i="5" s="1"/>
  <c r="AN291" i="5"/>
  <c r="AN275" i="5"/>
  <c r="S479" i="5"/>
  <c r="S477" i="5"/>
  <c r="Y479" i="5"/>
  <c r="Y477" i="5"/>
  <c r="AB479" i="5"/>
  <c r="AB477" i="5"/>
  <c r="T375" i="5"/>
  <c r="S375" i="5"/>
  <c r="T371" i="5"/>
  <c r="S371" i="5"/>
  <c r="T367" i="5"/>
  <c r="S367" i="5"/>
  <c r="T363" i="5"/>
  <c r="S363" i="5"/>
  <c r="T359" i="5"/>
  <c r="S359" i="5"/>
  <c r="AA383" i="5"/>
  <c r="W383" i="5"/>
  <c r="AC383" i="5"/>
  <c r="Y383" i="5"/>
  <c r="U383" i="5"/>
  <c r="AD383" i="5"/>
  <c r="V383" i="5"/>
  <c r="AB383" i="5"/>
  <c r="Z383" i="5"/>
  <c r="X383" i="5"/>
  <c r="AE352" i="5"/>
  <c r="S324" i="5"/>
  <c r="AE324" i="5" s="1"/>
  <c r="S354" i="5"/>
  <c r="AE354" i="5" s="1"/>
  <c r="S350" i="5"/>
  <c r="AE350" i="5" s="1"/>
  <c r="AE331" i="5"/>
  <c r="S327" i="5"/>
  <c r="AE327" i="5" s="1"/>
  <c r="AC307" i="5"/>
  <c r="AX307" i="5" s="1"/>
  <c r="W315" i="5"/>
  <c r="AR306" i="5"/>
  <c r="AR308" i="5" s="1"/>
  <c r="T312" i="5"/>
  <c r="AE312" i="5" s="1"/>
  <c r="AY306" i="5"/>
  <c r="AY308" i="5" s="1"/>
  <c r="AD315" i="5"/>
  <c r="AX306" i="5"/>
  <c r="W286" i="5"/>
  <c r="AR286" i="5" s="1"/>
  <c r="S297" i="5"/>
  <c r="AE297" i="5" s="1"/>
  <c r="AN288" i="5"/>
  <c r="AD286" i="5"/>
  <c r="AY286" i="5" s="1"/>
  <c r="Y286" i="5"/>
  <c r="AT286" i="5" s="1"/>
  <c r="AE289" i="5"/>
  <c r="AN289" i="5"/>
  <c r="AZ289" i="5" s="1"/>
  <c r="AH289" i="5"/>
  <c r="AI289" i="5" s="1"/>
  <c r="X286" i="5"/>
  <c r="AS286" i="5" s="1"/>
  <c r="S279" i="5"/>
  <c r="T282" i="5"/>
  <c r="AE282" i="5" s="1"/>
  <c r="AV276" i="5"/>
  <c r="AV282" i="5"/>
  <c r="Y269" i="5"/>
  <c r="AN285" i="5"/>
  <c r="AZ285" i="5" s="1"/>
  <c r="AE285" i="5"/>
  <c r="S273" i="5"/>
  <c r="AH284" i="5"/>
  <c r="AI284" i="5" s="1"/>
  <c r="AE284" i="5"/>
  <c r="AN284" i="5"/>
  <c r="AZ284" i="5" s="1"/>
  <c r="S211" i="5"/>
  <c r="AE268" i="5"/>
  <c r="X266" i="5"/>
  <c r="AA266" i="5"/>
  <c r="AE255" i="5"/>
  <c r="Z266" i="5"/>
  <c r="U266" i="5"/>
  <c r="S186" i="5"/>
  <c r="AE186" i="5" s="1"/>
  <c r="H318" i="5"/>
  <c r="H454" i="5" s="1"/>
  <c r="H469" i="5" s="1"/>
  <c r="AD105" i="5"/>
  <c r="Z105" i="5"/>
  <c r="V105" i="5"/>
  <c r="AD97" i="5"/>
  <c r="AD107" i="5" s="1"/>
  <c r="Z97" i="5"/>
  <c r="Z107" i="5" s="1"/>
  <c r="V97" i="5"/>
  <c r="R107" i="5"/>
  <c r="U119" i="5"/>
  <c r="J454" i="5"/>
  <c r="J469" i="5" s="1"/>
  <c r="AB119" i="5"/>
  <c r="T100" i="5"/>
  <c r="AE100" i="5" s="1"/>
  <c r="Y97" i="5"/>
  <c r="AC122" i="5"/>
  <c r="T118" i="5"/>
  <c r="AB97" i="5"/>
  <c r="AB107" i="5" s="1"/>
  <c r="Y107" i="5"/>
  <c r="AE63" i="5"/>
  <c r="W105" i="5"/>
  <c r="W97" i="5"/>
  <c r="T87" i="5"/>
  <c r="AE87" i="5" s="1"/>
  <c r="V44" i="5"/>
  <c r="AC40" i="5"/>
  <c r="AB36" i="5"/>
  <c r="V28" i="5"/>
  <c r="AC24" i="5"/>
  <c r="V12" i="5"/>
  <c r="X40" i="5"/>
  <c r="Z16" i="5"/>
  <c r="S45" i="5"/>
  <c r="AE45" i="5" s="1"/>
  <c r="Z36" i="5"/>
  <c r="S29" i="5"/>
  <c r="AE29" i="5" s="1"/>
  <c r="Z20" i="5"/>
  <c r="S13" i="5"/>
  <c r="X20" i="5"/>
  <c r="AE442" i="5"/>
  <c r="R418" i="5"/>
  <c r="AE401" i="5"/>
  <c r="AE399" i="5"/>
  <c r="AE395" i="5"/>
  <c r="T407" i="5"/>
  <c r="AE407" i="5" s="1"/>
  <c r="T403" i="5"/>
  <c r="AE403" i="5" s="1"/>
  <c r="W406" i="5"/>
  <c r="V406" i="5"/>
  <c r="T378" i="5"/>
  <c r="S378" i="5"/>
  <c r="T374" i="5"/>
  <c r="S374" i="5"/>
  <c r="T370" i="5"/>
  <c r="S370" i="5"/>
  <c r="T366" i="5"/>
  <c r="S366" i="5"/>
  <c r="T362" i="5"/>
  <c r="S362" i="5"/>
  <c r="T358" i="5"/>
  <c r="S358" i="5"/>
  <c r="AA386" i="5"/>
  <c r="W386" i="5"/>
  <c r="AC386" i="5"/>
  <c r="Y386" i="5"/>
  <c r="U386" i="5"/>
  <c r="AD386" i="5"/>
  <c r="V386" i="5"/>
  <c r="AB386" i="5"/>
  <c r="Z386" i="5"/>
  <c r="X386" i="5"/>
  <c r="AA382" i="5"/>
  <c r="W382" i="5"/>
  <c r="AC382" i="5"/>
  <c r="Y382" i="5"/>
  <c r="U382" i="5"/>
  <c r="AD382" i="5"/>
  <c r="V382" i="5"/>
  <c r="AB382" i="5"/>
  <c r="Z382" i="5"/>
  <c r="X382" i="5"/>
  <c r="AD389" i="5"/>
  <c r="W353" i="5"/>
  <c r="AA349" i="5"/>
  <c r="AA409" i="5" s="1"/>
  <c r="AA421" i="5" s="1"/>
  <c r="V353" i="5"/>
  <c r="V349" i="5"/>
  <c r="S345" i="5"/>
  <c r="U353" i="5"/>
  <c r="U409" i="5" s="1"/>
  <c r="U421" i="5" s="1"/>
  <c r="Z409" i="5"/>
  <c r="Z421" i="5" s="1"/>
  <c r="AB353" i="5"/>
  <c r="AB349" i="5"/>
  <c r="T346" i="5"/>
  <c r="T409" i="5" s="1"/>
  <c r="T421" i="5" s="1"/>
  <c r="AD337" i="5"/>
  <c r="AA333" i="5"/>
  <c r="S309" i="5"/>
  <c r="AE309" i="5" s="1"/>
  <c r="Z307" i="5"/>
  <c r="AU307" i="5" s="1"/>
  <c r="AW306" i="5"/>
  <c r="Y337" i="5"/>
  <c r="AD333" i="5"/>
  <c r="AD329" i="5"/>
  <c r="AD325" i="5"/>
  <c r="Y307" i="5"/>
  <c r="AT307" i="5" s="1"/>
  <c r="S315" i="5"/>
  <c r="AE306" i="5"/>
  <c r="AN306" i="5"/>
  <c r="S344" i="5"/>
  <c r="AE344" i="5" s="1"/>
  <c r="S338" i="5"/>
  <c r="AE338" i="5" s="1"/>
  <c r="U333" i="5"/>
  <c r="T330" i="5"/>
  <c r="AE330" i="5" s="1"/>
  <c r="AC325" i="5"/>
  <c r="AE310" i="5"/>
  <c r="AB307" i="5"/>
  <c r="AW307" i="5" s="1"/>
  <c r="AU306" i="5"/>
  <c r="AA337" i="5"/>
  <c r="S334" i="5"/>
  <c r="AE334" i="5" s="1"/>
  <c r="X329" i="5"/>
  <c r="AA307" i="5"/>
  <c r="AV307" i="5" s="1"/>
  <c r="Y315" i="5"/>
  <c r="AT306" i="5"/>
  <c r="Y300" i="5"/>
  <c r="S295" i="5"/>
  <c r="AE295" i="5" s="1"/>
  <c r="T291" i="5"/>
  <c r="AO291" i="5" s="1"/>
  <c r="Z286" i="5"/>
  <c r="AU286" i="5" s="1"/>
  <c r="AZ287" i="5"/>
  <c r="U286" i="5"/>
  <c r="AH287" i="5"/>
  <c r="AI287" i="5" s="1"/>
  <c r="S272" i="5"/>
  <c r="AR276" i="5"/>
  <c r="AR282" i="5"/>
  <c r="T275" i="5"/>
  <c r="AO275" i="5" s="1"/>
  <c r="U269" i="5"/>
  <c r="T278" i="5"/>
  <c r="AE278" i="5" s="1"/>
  <c r="AY282" i="5"/>
  <c r="AY276" i="5"/>
  <c r="U274" i="5"/>
  <c r="AP274" i="5" s="1"/>
  <c r="AN274" i="5"/>
  <c r="T271" i="5"/>
  <c r="AE271" i="5" s="1"/>
  <c r="AD269" i="5"/>
  <c r="S267" i="5"/>
  <c r="AE267" i="5" s="1"/>
  <c r="AF267" i="5" s="1"/>
  <c r="S260" i="5"/>
  <c r="AE260" i="5" s="1"/>
  <c r="S256" i="5"/>
  <c r="AE256" i="5" s="1"/>
  <c r="S252" i="5"/>
  <c r="AE252" i="5" s="1"/>
  <c r="AE203" i="5"/>
  <c r="S198" i="5"/>
  <c r="AE198" i="5" s="1"/>
  <c r="W266" i="5"/>
  <c r="AE204" i="5"/>
  <c r="T194" i="5"/>
  <c r="AE194" i="5" s="1"/>
  <c r="S190" i="5"/>
  <c r="AE190" i="5" s="1"/>
  <c r="V266" i="5"/>
  <c r="AE188" i="5"/>
  <c r="S179" i="5"/>
  <c r="AE179" i="5" s="1"/>
  <c r="AE118" i="5"/>
  <c r="R207" i="5"/>
  <c r="T171" i="5"/>
  <c r="AE171" i="5" s="1"/>
  <c r="AD122" i="5"/>
  <c r="Z122" i="5"/>
  <c r="V122" i="5"/>
  <c r="AD119" i="5"/>
  <c r="Z119" i="5"/>
  <c r="V119" i="5"/>
  <c r="AD88" i="5"/>
  <c r="Z88" i="5"/>
  <c r="V88" i="5"/>
  <c r="S93" i="5"/>
  <c r="AE82" i="5"/>
  <c r="AD70" i="5"/>
  <c r="Z70" i="5"/>
  <c r="V70" i="5"/>
  <c r="AD62" i="5"/>
  <c r="Z62" i="5"/>
  <c r="V62" i="5"/>
  <c r="AE50" i="5"/>
  <c r="T77" i="5"/>
  <c r="AE77" i="5" s="1"/>
  <c r="W70" i="5"/>
  <c r="T61" i="5"/>
  <c r="AE61" i="5" s="1"/>
  <c r="X119" i="5"/>
  <c r="AC105" i="5"/>
  <c r="U97" i="5"/>
  <c r="U107" i="5" s="1"/>
  <c r="AE89" i="5"/>
  <c r="U93" i="5"/>
  <c r="M454" i="5"/>
  <c r="M469" i="5" s="1"/>
  <c r="T125" i="5"/>
  <c r="AE125" i="5" s="1"/>
  <c r="Y122" i="5"/>
  <c r="X97" i="5"/>
  <c r="X107" i="5" s="1"/>
  <c r="U70" i="5"/>
  <c r="AC62" i="5"/>
  <c r="F454" i="5"/>
  <c r="F469" i="5" s="1"/>
  <c r="AA88" i="5"/>
  <c r="AB70" i="5"/>
  <c r="T51" i="5"/>
  <c r="AE51" i="5" s="1"/>
  <c r="AE47" i="5"/>
  <c r="AA44" i="5"/>
  <c r="W44" i="5"/>
  <c r="AD44" i="5"/>
  <c r="AA40" i="5"/>
  <c r="W40" i="5"/>
  <c r="AA36" i="5"/>
  <c r="AA80" i="5" s="1"/>
  <c r="W36" i="5"/>
  <c r="AA32" i="5"/>
  <c r="W32" i="5"/>
  <c r="W80" i="5" s="1"/>
  <c r="AA28" i="5"/>
  <c r="W28" i="5"/>
  <c r="AA24" i="5"/>
  <c r="W24" i="5"/>
  <c r="AA20" i="5"/>
  <c r="W20" i="5"/>
  <c r="AA16" i="5"/>
  <c r="W16" i="5"/>
  <c r="AA12" i="5"/>
  <c r="W12" i="5"/>
  <c r="AE10" i="5"/>
  <c r="J5" i="5"/>
  <c r="AQ5" i="5"/>
  <c r="V5" i="5"/>
  <c r="Y40" i="5"/>
  <c r="X36" i="5"/>
  <c r="Y24" i="5"/>
  <c r="U44" i="5"/>
  <c r="AD32" i="5"/>
  <c r="S25" i="5"/>
  <c r="AE25" i="5" s="1"/>
  <c r="V16" i="5"/>
  <c r="U12" i="5"/>
  <c r="AB44" i="5"/>
  <c r="V36" i="5"/>
  <c r="U32" i="5"/>
  <c r="AB28" i="5"/>
  <c r="V20" i="5"/>
  <c r="U16" i="5"/>
  <c r="U79" i="5" s="1"/>
  <c r="AB12" i="5"/>
  <c r="Z40" i="5"/>
  <c r="Y36" i="5"/>
  <c r="Y80" i="5" s="1"/>
  <c r="S33" i="5"/>
  <c r="AE33" i="5" s="1"/>
  <c r="Z24" i="5"/>
  <c r="Y20" i="5"/>
  <c r="S17" i="5"/>
  <c r="AE17" i="5" s="1"/>
  <c r="T379" i="5"/>
  <c r="S379" i="5"/>
  <c r="AE379" i="5" s="1"/>
  <c r="AD479" i="5"/>
  <c r="AD477" i="5"/>
  <c r="U479" i="5"/>
  <c r="U477" i="5"/>
  <c r="X479" i="5"/>
  <c r="X477" i="5"/>
  <c r="AC445" i="5"/>
  <c r="Y441" i="5"/>
  <c r="AB445" i="5"/>
  <c r="AB441" i="5"/>
  <c r="AE439" i="5"/>
  <c r="AC406" i="5"/>
  <c r="Z402" i="5"/>
  <c r="Z398" i="5"/>
  <c r="Z394" i="5"/>
  <c r="AB406" i="5"/>
  <c r="AC402" i="5"/>
  <c r="Y398" i="5"/>
  <c r="U394" i="5"/>
  <c r="AE394" i="5" s="1"/>
  <c r="X398" i="5"/>
  <c r="X394" i="5"/>
  <c r="AA402" i="5"/>
  <c r="W398" i="5"/>
  <c r="AE392" i="5"/>
  <c r="Y389" i="5"/>
  <c r="T377" i="5"/>
  <c r="S377" i="5"/>
  <c r="T373" i="5"/>
  <c r="S373" i="5"/>
  <c r="AE373" i="5" s="1"/>
  <c r="T369" i="5"/>
  <c r="S369" i="5"/>
  <c r="T365" i="5"/>
  <c r="S365" i="5"/>
  <c r="AE365" i="5" s="1"/>
  <c r="T361" i="5"/>
  <c r="S361" i="5"/>
  <c r="T357" i="5"/>
  <c r="S357" i="5"/>
  <c r="AE357" i="5" s="1"/>
  <c r="AA385" i="5"/>
  <c r="W385" i="5"/>
  <c r="AC385" i="5"/>
  <c r="Y385" i="5"/>
  <c r="U385" i="5"/>
  <c r="AD385" i="5"/>
  <c r="V385" i="5"/>
  <c r="AB385" i="5"/>
  <c r="Z385" i="5"/>
  <c r="X385" i="5"/>
  <c r="AA381" i="5"/>
  <c r="W381" i="5"/>
  <c r="AC381" i="5"/>
  <c r="Y381" i="5"/>
  <c r="U381" i="5"/>
  <c r="AD381" i="5"/>
  <c r="V381" i="5"/>
  <c r="AB381" i="5"/>
  <c r="Z381" i="5"/>
  <c r="X381" i="5"/>
  <c r="Z389" i="5"/>
  <c r="W349" i="5"/>
  <c r="W409" i="5" s="1"/>
  <c r="W421" i="5" s="1"/>
  <c r="AC349" i="5"/>
  <c r="X353" i="5"/>
  <c r="X349" i="5"/>
  <c r="AE343" i="5"/>
  <c r="R409" i="5"/>
  <c r="R421" i="5" s="1"/>
  <c r="S340" i="5"/>
  <c r="AE340" i="5" s="1"/>
  <c r="Z337" i="5"/>
  <c r="W333" i="5"/>
  <c r="V307" i="5"/>
  <c r="AQ307" i="5" s="1"/>
  <c r="AS306" i="5"/>
  <c r="U337" i="5"/>
  <c r="Z333" i="5"/>
  <c r="Z329" i="5"/>
  <c r="AE328" i="5"/>
  <c r="Z325" i="5"/>
  <c r="T313" i="5"/>
  <c r="AE313" i="5" s="1"/>
  <c r="U307" i="5"/>
  <c r="AP307" i="5" s="1"/>
  <c r="AB337" i="5"/>
  <c r="AC329" i="5"/>
  <c r="Y325" i="5"/>
  <c r="X307" i="5"/>
  <c r="AS307" i="5" s="1"/>
  <c r="AQ306" i="5"/>
  <c r="W337" i="5"/>
  <c r="AB333" i="5"/>
  <c r="AB325" i="5"/>
  <c r="AP306" i="5"/>
  <c r="AE294" i="5"/>
  <c r="AE292" i="5"/>
  <c r="AN292" i="5"/>
  <c r="AZ292" i="5" s="1"/>
  <c r="AH292" i="5"/>
  <c r="AI292" i="5" s="1"/>
  <c r="S301" i="5"/>
  <c r="AE301" i="5" s="1"/>
  <c r="V286" i="5"/>
  <c r="AQ286" i="5" s="1"/>
  <c r="AA300" i="5"/>
  <c r="AE287" i="5"/>
  <c r="AH306" i="5"/>
  <c r="AD300" i="5"/>
  <c r="AE276" i="5"/>
  <c r="AN276" i="5"/>
  <c r="AN282" i="5"/>
  <c r="AH276" i="5"/>
  <c r="AI276" i="5" s="1"/>
  <c r="AD274" i="5"/>
  <c r="AY274" i="5" s="1"/>
  <c r="AY269" i="5" s="1"/>
  <c r="AY309" i="5" s="1"/>
  <c r="Q479" i="5" s="1"/>
  <c r="Q480" i="5" s="1"/>
  <c r="AU282" i="5"/>
  <c r="AU276" i="5"/>
  <c r="AB269" i="5"/>
  <c r="AB274" i="5"/>
  <c r="AW274" i="5" s="1"/>
  <c r="AA269" i="5"/>
  <c r="R303" i="5"/>
  <c r="AE238" i="5"/>
  <c r="AZ283" i="5"/>
  <c r="AH280" i="5"/>
  <c r="AI280" i="5" s="1"/>
  <c r="AE280" i="5"/>
  <c r="AN280" i="5"/>
  <c r="AZ280" i="5" s="1"/>
  <c r="AO276" i="5"/>
  <c r="AO282" i="5"/>
  <c r="Z269" i="5"/>
  <c r="S264" i="5"/>
  <c r="AE264" i="5" s="1"/>
  <c r="T251" i="5"/>
  <c r="AE251" i="5" s="1"/>
  <c r="T196" i="5"/>
  <c r="AE196" i="5" s="1"/>
  <c r="AE159" i="5"/>
  <c r="AE143" i="5"/>
  <c r="AE135" i="5"/>
  <c r="AC266" i="5"/>
  <c r="S261" i="5"/>
  <c r="AE261" i="5" s="1"/>
  <c r="Z258" i="5"/>
  <c r="S257" i="5"/>
  <c r="AE257" i="5" s="1"/>
  <c r="Z254" i="5"/>
  <c r="S253" i="5"/>
  <c r="AE253" i="5" s="1"/>
  <c r="AE183" i="5"/>
  <c r="AE144" i="5"/>
  <c r="AE130" i="5"/>
  <c r="S207" i="5"/>
  <c r="AE116" i="5"/>
  <c r="AE104" i="5"/>
  <c r="AE96" i="5"/>
  <c r="S107" i="5"/>
  <c r="AE73" i="5"/>
  <c r="AE55" i="5"/>
  <c r="T175" i="5"/>
  <c r="AE175" i="5" s="1"/>
  <c r="AC131" i="5"/>
  <c r="T163" i="5"/>
  <c r="AE163" i="5" s="1"/>
  <c r="T155" i="5"/>
  <c r="AE155" i="5" s="1"/>
  <c r="AE128" i="5"/>
  <c r="AD101" i="5"/>
  <c r="Z101" i="5"/>
  <c r="V101" i="5"/>
  <c r="AE86" i="5"/>
  <c r="AE76" i="5"/>
  <c r="AE68" i="5"/>
  <c r="AE60" i="5"/>
  <c r="AC126" i="5"/>
  <c r="AA122" i="5"/>
  <c r="AC119" i="5"/>
  <c r="AB101" i="5"/>
  <c r="Z93" i="5"/>
  <c r="AC66" i="5"/>
  <c r="AA62" i="5"/>
  <c r="AA56" i="5"/>
  <c r="Y105" i="5"/>
  <c r="AE98" i="5"/>
  <c r="W107" i="5"/>
  <c r="AC88" i="5"/>
  <c r="T83" i="5"/>
  <c r="T93" i="5" s="1"/>
  <c r="X93" i="5"/>
  <c r="U122" i="5"/>
  <c r="AB105" i="5"/>
  <c r="AB88" i="5"/>
  <c r="AE71" i="5"/>
  <c r="T65" i="5"/>
  <c r="AE65" i="5" s="1"/>
  <c r="Y62" i="5"/>
  <c r="W88" i="5"/>
  <c r="X70" i="5"/>
  <c r="U40" i="5"/>
  <c r="AD28" i="5"/>
  <c r="U24" i="5"/>
  <c r="AD12" i="5"/>
  <c r="S41" i="5"/>
  <c r="AE41" i="5" s="1"/>
  <c r="Z32" i="5"/>
  <c r="AC28" i="5"/>
  <c r="AB24" i="5"/>
  <c r="X44" i="5"/>
  <c r="X28" i="5"/>
  <c r="X12" i="5"/>
  <c r="S21" i="5"/>
  <c r="AE21" i="5" s="1"/>
  <c r="V40" i="5"/>
  <c r="U36" i="5"/>
  <c r="AB32" i="5"/>
  <c r="AB80" i="5" s="1"/>
  <c r="V24" i="5"/>
  <c r="V79" i="5" s="1"/>
  <c r="V110" i="5" s="1"/>
  <c r="U20" i="5"/>
  <c r="AB16" i="5"/>
  <c r="AC441" i="5"/>
  <c r="AE446" i="5"/>
  <c r="AA441" i="5"/>
  <c r="AD445" i="5"/>
  <c r="V441" i="5"/>
  <c r="AE396" i="5"/>
  <c r="AA445" i="5"/>
  <c r="W441" i="5"/>
  <c r="Z445" i="5"/>
  <c r="S432" i="5"/>
  <c r="S435" i="5" s="1"/>
  <c r="AE425" i="5"/>
  <c r="AE432" i="5" s="1"/>
  <c r="AE435" i="5" s="1"/>
  <c r="AE412" i="5"/>
  <c r="AA479" i="5"/>
  <c r="AA477" i="5"/>
  <c r="Z479" i="5"/>
  <c r="Z477" i="5"/>
  <c r="T479" i="5"/>
  <c r="T477" i="5"/>
  <c r="AE443" i="5"/>
  <c r="Y445" i="5"/>
  <c r="U441" i="5"/>
  <c r="R448" i="5"/>
  <c r="R451" i="5" s="1"/>
  <c r="X445" i="5"/>
  <c r="X441" i="5"/>
  <c r="W445" i="5"/>
  <c r="V445" i="5"/>
  <c r="AE445" i="5" s="1"/>
  <c r="AD441" i="5"/>
  <c r="W479" i="5"/>
  <c r="W477" i="5"/>
  <c r="V479" i="5"/>
  <c r="V477" i="5"/>
  <c r="AC479" i="5"/>
  <c r="AC477" i="5"/>
  <c r="T440" i="5"/>
  <c r="AE440" i="5" s="1"/>
  <c r="AE414" i="5"/>
  <c r="T415" i="5"/>
  <c r="AE415" i="5" s="1"/>
  <c r="Y406" i="5"/>
  <c r="V402" i="5"/>
  <c r="AE402" i="5" s="1"/>
  <c r="V398" i="5"/>
  <c r="X406" i="5"/>
  <c r="Y402" i="5"/>
  <c r="U389" i="5"/>
  <c r="AB389" i="5"/>
  <c r="T380" i="5"/>
  <c r="S380" i="5"/>
  <c r="AE380" i="5" s="1"/>
  <c r="T376" i="5"/>
  <c r="S376" i="5"/>
  <c r="T372" i="5"/>
  <c r="S372" i="5"/>
  <c r="AE372" i="5" s="1"/>
  <c r="T368" i="5"/>
  <c r="S368" i="5"/>
  <c r="T364" i="5"/>
  <c r="S364" i="5"/>
  <c r="AE364" i="5" s="1"/>
  <c r="T360" i="5"/>
  <c r="S360" i="5"/>
  <c r="T356" i="5"/>
  <c r="S356" i="5"/>
  <c r="AE356" i="5" s="1"/>
  <c r="W389" i="5"/>
  <c r="AA384" i="5"/>
  <c r="W384" i="5"/>
  <c r="AC384" i="5"/>
  <c r="Y384" i="5"/>
  <c r="U384" i="5"/>
  <c r="AD384" i="5"/>
  <c r="V384" i="5"/>
  <c r="AB384" i="5"/>
  <c r="Z384" i="5"/>
  <c r="X384" i="5"/>
  <c r="V389" i="5"/>
  <c r="S355" i="5"/>
  <c r="AE355" i="5" s="1"/>
  <c r="S351" i="5"/>
  <c r="AE351" i="5" s="1"/>
  <c r="S347" i="5"/>
  <c r="AE347" i="5" s="1"/>
  <c r="AD353" i="5"/>
  <c r="AD349" i="5"/>
  <c r="AD409" i="5" s="1"/>
  <c r="AD421" i="5" s="1"/>
  <c r="AE308" i="5"/>
  <c r="V337" i="5"/>
  <c r="AA329" i="5"/>
  <c r="AA325" i="5"/>
  <c r="AO306" i="5"/>
  <c r="V333" i="5"/>
  <c r="V329" i="5"/>
  <c r="AE329" i="5" s="1"/>
  <c r="V325" i="5"/>
  <c r="AV306" i="5"/>
  <c r="AC333" i="5"/>
  <c r="U325" i="5"/>
  <c r="T307" i="5"/>
  <c r="AO307" i="5" s="1"/>
  <c r="R315" i="5"/>
  <c r="AA286" i="5"/>
  <c r="AV286" i="5" s="1"/>
  <c r="AV269" i="5" s="1"/>
  <c r="AB300" i="5"/>
  <c r="W288" i="5"/>
  <c r="AR288" i="5" s="1"/>
  <c r="AH283" i="5"/>
  <c r="AI283" i="5" s="1"/>
  <c r="W300" i="5"/>
  <c r="AC286" i="5"/>
  <c r="AX286" i="5" s="1"/>
  <c r="AH285" i="5"/>
  <c r="AI285" i="5" s="1"/>
  <c r="Z274" i="5"/>
  <c r="AU274" i="5" s="1"/>
  <c r="AC269" i="5"/>
  <c r="AQ282" i="5"/>
  <c r="AQ276" i="5"/>
  <c r="AQ269" i="5" s="1"/>
  <c r="AC274" i="5"/>
  <c r="AX274" i="5" s="1"/>
  <c r="AX269" i="5" s="1"/>
  <c r="AA270" i="5"/>
  <c r="X269" i="5"/>
  <c r="AA250" i="5"/>
  <c r="X274" i="5"/>
  <c r="AS274" i="5" s="1"/>
  <c r="AS269" i="5" s="1"/>
  <c r="AD270" i="5"/>
  <c r="W269" i="5"/>
  <c r="AD250" i="5"/>
  <c r="AE283" i="5"/>
  <c r="AE210" i="5"/>
  <c r="AE195" i="5"/>
  <c r="AB266" i="5"/>
  <c r="U258" i="5"/>
  <c r="AE258" i="5" s="1"/>
  <c r="AD266" i="5"/>
  <c r="W258" i="5"/>
  <c r="W254" i="5"/>
  <c r="W303" i="5" s="1"/>
  <c r="AE184" i="5"/>
  <c r="T139" i="5"/>
  <c r="AE139" i="5" s="1"/>
  <c r="AD131" i="5"/>
  <c r="AA131" i="5"/>
  <c r="W131" i="5"/>
  <c r="AE83" i="5"/>
  <c r="T147" i="5"/>
  <c r="AE147" i="5" s="1"/>
  <c r="Y131" i="5"/>
  <c r="T167" i="5"/>
  <c r="AE167" i="5" s="1"/>
  <c r="T131" i="5"/>
  <c r="AD126" i="5"/>
  <c r="Z126" i="5"/>
  <c r="V126" i="5"/>
  <c r="AE126" i="5" s="1"/>
  <c r="L318" i="5"/>
  <c r="AE99" i="5"/>
  <c r="V107" i="5"/>
  <c r="AD74" i="5"/>
  <c r="Z74" i="5"/>
  <c r="V74" i="5"/>
  <c r="AD66" i="5"/>
  <c r="Z66" i="5"/>
  <c r="V66" i="5"/>
  <c r="AD56" i="5"/>
  <c r="Z56" i="5"/>
  <c r="V56" i="5"/>
  <c r="AE56" i="5" s="1"/>
  <c r="Y126" i="5"/>
  <c r="W122" i="5"/>
  <c r="Y119" i="5"/>
  <c r="Y207" i="5" s="1"/>
  <c r="X101" i="5"/>
  <c r="V93" i="5"/>
  <c r="T69" i="5"/>
  <c r="AE69" i="5" s="1"/>
  <c r="Y66" i="5"/>
  <c r="W62" i="5"/>
  <c r="W56" i="5"/>
  <c r="R79" i="5"/>
  <c r="R110" i="5" s="1"/>
  <c r="X126" i="5"/>
  <c r="U105" i="5"/>
  <c r="AE105" i="5" s="1"/>
  <c r="AA101" i="5"/>
  <c r="AC97" i="5"/>
  <c r="AC107" i="5" s="1"/>
  <c r="Y88" i="5"/>
  <c r="AC93" i="5"/>
  <c r="AB93" i="5"/>
  <c r="AB66" i="5"/>
  <c r="AE123" i="5"/>
  <c r="AA119" i="5"/>
  <c r="AA207" i="5" s="1"/>
  <c r="X105" i="5"/>
  <c r="X88" i="5"/>
  <c r="AA74" i="5"/>
  <c r="AC70" i="5"/>
  <c r="U62" i="5"/>
  <c r="AB122" i="5"/>
  <c r="AB207" i="5" s="1"/>
  <c r="AA105" i="5"/>
  <c r="AC101" i="5"/>
  <c r="AA97" i="5"/>
  <c r="AA107" i="5" s="1"/>
  <c r="AB62" i="5"/>
  <c r="AE46" i="5"/>
  <c r="AE42" i="5"/>
  <c r="AE38" i="5"/>
  <c r="AE34" i="5"/>
  <c r="AE30" i="5"/>
  <c r="AE26" i="5"/>
  <c r="AE22" i="5"/>
  <c r="AE18" i="5"/>
  <c r="AE14" i="5"/>
  <c r="AA79" i="5"/>
  <c r="Z44" i="5"/>
  <c r="S37" i="5"/>
  <c r="AE37" i="5" s="1"/>
  <c r="Z28" i="5"/>
  <c r="Z12" i="5"/>
  <c r="AC44" i="5"/>
  <c r="AB40" i="5"/>
  <c r="V32" i="5"/>
  <c r="Y28" i="5"/>
  <c r="X24" i="5"/>
  <c r="AD16" i="5"/>
  <c r="AD80" i="5" s="1"/>
  <c r="AC12" i="5"/>
  <c r="AD36" i="5"/>
  <c r="AC32" i="5"/>
  <c r="AC80" i="5" s="1"/>
  <c r="AD20" i="5"/>
  <c r="AC16" i="5"/>
  <c r="AB20" i="5"/>
  <c r="X32" i="5"/>
  <c r="X80" i="5" s="1"/>
  <c r="X16" i="5"/>
  <c r="BE93" i="5" l="1"/>
  <c r="BE207" i="5"/>
  <c r="BE79" i="5"/>
  <c r="BF107" i="5"/>
  <c r="BE315" i="5"/>
  <c r="C178" i="7"/>
  <c r="D178" i="7" s="1"/>
  <c r="C168" i="7"/>
  <c r="D168" i="7" s="1"/>
  <c r="C167" i="7"/>
  <c r="D167" i="7" s="1"/>
  <c r="C176" i="7"/>
  <c r="D176" i="7" s="1"/>
  <c r="C193" i="7"/>
  <c r="C174" i="7"/>
  <c r="C191" i="7"/>
  <c r="D191" i="7" s="1"/>
  <c r="C190" i="7"/>
  <c r="C189" i="7"/>
  <c r="D189" i="7" s="1"/>
  <c r="C169" i="7"/>
  <c r="D169" i="7" s="1"/>
  <c r="C177" i="7"/>
  <c r="D177" i="7" s="1"/>
  <c r="C175" i="7"/>
  <c r="D175" i="7" s="1"/>
  <c r="C192" i="7"/>
  <c r="C171" i="7"/>
  <c r="D171" i="7" s="1"/>
  <c r="C170" i="7"/>
  <c r="D170" i="7" s="1"/>
  <c r="C481" i="7"/>
  <c r="D481" i="7" s="1"/>
  <c r="C212" i="7"/>
  <c r="D212" i="7" s="1"/>
  <c r="C514" i="7"/>
  <c r="D514" i="7" s="1"/>
  <c r="C484" i="7"/>
  <c r="D484" i="7" s="1"/>
  <c r="C406" i="7"/>
  <c r="D406" i="7" s="1"/>
  <c r="C565" i="7"/>
  <c r="D565" i="7" s="1"/>
  <c r="C383" i="7"/>
  <c r="D383" i="7" s="1"/>
  <c r="C627" i="7"/>
  <c r="D627" i="7" s="1"/>
  <c r="C206" i="7"/>
  <c r="D206" i="7" s="1"/>
  <c r="C256" i="7"/>
  <c r="D256" i="7" s="1"/>
  <c r="C621" i="7"/>
  <c r="D621" i="7" s="1"/>
  <c r="C429" i="7"/>
  <c r="D429" i="7" s="1"/>
  <c r="C407" i="7"/>
  <c r="D407" i="7" s="1"/>
  <c r="C292" i="7"/>
  <c r="D292" i="7" s="1"/>
  <c r="C513" i="7"/>
  <c r="D513" i="7" s="1"/>
  <c r="C422" i="7"/>
  <c r="D422" i="7" s="1"/>
  <c r="C261" i="7"/>
  <c r="D261" i="7" s="1"/>
  <c r="C597" i="7"/>
  <c r="D597" i="7" s="1"/>
  <c r="C558" i="7"/>
  <c r="D558" i="7" s="1"/>
  <c r="C331" i="7"/>
  <c r="C360" i="7"/>
  <c r="D360" i="7" s="1"/>
  <c r="C579" i="7"/>
  <c r="D579" i="7" s="1"/>
  <c r="C213" i="7"/>
  <c r="D213" i="7" s="1"/>
  <c r="C470" i="7"/>
  <c r="D470" i="7" s="1"/>
  <c r="C412" i="7"/>
  <c r="D412" i="7" s="1"/>
  <c r="C264" i="7"/>
  <c r="D264" i="7" s="1"/>
  <c r="C230" i="7"/>
  <c r="D230" i="7" s="1"/>
  <c r="C500" i="7"/>
  <c r="D500" i="7" s="1"/>
  <c r="C568" i="7"/>
  <c r="D568" i="7" s="1"/>
  <c r="C354" i="7"/>
  <c r="D354" i="7" s="1"/>
  <c r="C334" i="7"/>
  <c r="D334" i="7" s="1"/>
  <c r="C156" i="7"/>
  <c r="D156" i="7" s="1"/>
  <c r="C626" i="7"/>
  <c r="D626" i="7" s="1"/>
  <c r="C497" i="7"/>
  <c r="D497" i="7" s="1"/>
  <c r="C625" i="7"/>
  <c r="D625" i="7" s="1"/>
  <c r="C395" i="7"/>
  <c r="D395" i="7" s="1"/>
  <c r="C512" i="7"/>
  <c r="D512" i="7" s="1"/>
  <c r="C489" i="7"/>
  <c r="D489" i="7" s="1"/>
  <c r="C322" i="7"/>
  <c r="D322" i="7" s="1"/>
  <c r="C551" i="7"/>
  <c r="D551" i="7" s="1"/>
  <c r="C54" i="7"/>
  <c r="D54" i="7" s="1"/>
  <c r="C352" i="7"/>
  <c r="D352" i="7" s="1"/>
  <c r="C316" i="7"/>
  <c r="D316" i="7" s="1"/>
  <c r="C474" i="7"/>
  <c r="D474" i="7" s="1"/>
  <c r="C501" i="7"/>
  <c r="D501" i="7" s="1"/>
  <c r="C113" i="7"/>
  <c r="D113" i="7" s="1"/>
  <c r="C574" i="7"/>
  <c r="D574" i="7" s="1"/>
  <c r="C231" i="7"/>
  <c r="D231" i="7" s="1"/>
  <c r="C262" i="7"/>
  <c r="D262" i="7" s="1"/>
  <c r="C210" i="7"/>
  <c r="D210" i="7" s="1"/>
  <c r="C387" i="7"/>
  <c r="D387" i="7" s="1"/>
  <c r="C606" i="7"/>
  <c r="D606" i="7" s="1"/>
  <c r="C465" i="7"/>
  <c r="D465" i="7" s="1"/>
  <c r="C69" i="7"/>
  <c r="D69" i="7" s="1"/>
  <c r="C320" i="7"/>
  <c r="D320" i="7" s="1"/>
  <c r="C34" i="7"/>
  <c r="D34" i="7" s="1"/>
  <c r="C401" i="7"/>
  <c r="D401" i="7" s="1"/>
  <c r="C616" i="7"/>
  <c r="D616" i="7" s="1"/>
  <c r="C155" i="7"/>
  <c r="D155" i="7" s="1"/>
  <c r="C321" i="7"/>
  <c r="D321" i="7" s="1"/>
  <c r="C586" i="7"/>
  <c r="D586" i="7" s="1"/>
  <c r="C365" i="7"/>
  <c r="D365" i="7" s="1"/>
  <c r="C594" i="7"/>
  <c r="D594" i="7" s="1"/>
  <c r="C93" i="7"/>
  <c r="D93" i="7" s="1"/>
  <c r="C216" i="7"/>
  <c r="D216" i="7" s="1"/>
  <c r="C463" i="7"/>
  <c r="D463" i="7" s="1"/>
  <c r="C222" i="7"/>
  <c r="D222" i="7" s="1"/>
  <c r="C254" i="7"/>
  <c r="D254" i="7" s="1"/>
  <c r="C327" i="7"/>
  <c r="C278" i="7"/>
  <c r="D278" i="7" s="1"/>
  <c r="C411" i="7"/>
  <c r="D411" i="7" s="1"/>
  <c r="C582" i="7"/>
  <c r="D582" i="7" s="1"/>
  <c r="C323" i="7"/>
  <c r="D323" i="7" s="1"/>
  <c r="C289" i="7"/>
  <c r="D289" i="7" s="1"/>
  <c r="C275" i="7"/>
  <c r="D275" i="7" s="1"/>
  <c r="C495" i="7"/>
  <c r="D495" i="7" s="1"/>
  <c r="C464" i="7"/>
  <c r="D464" i="7" s="1"/>
  <c r="C296" i="7"/>
  <c r="D296" i="7" s="1"/>
  <c r="C94" i="7"/>
  <c r="D94" i="7" s="1"/>
  <c r="C417" i="7"/>
  <c r="D417" i="7" s="1"/>
  <c r="C359" i="7"/>
  <c r="D359" i="7" s="1"/>
  <c r="C33" i="7"/>
  <c r="D33" i="7" s="1"/>
  <c r="C121" i="7"/>
  <c r="C279" i="7"/>
  <c r="D279" i="7" s="1"/>
  <c r="C608" i="7"/>
  <c r="D608" i="7" s="1"/>
  <c r="C157" i="7"/>
  <c r="D157" i="7" s="1"/>
  <c r="C583" i="7"/>
  <c r="D583" i="7" s="1"/>
  <c r="C615" i="7"/>
  <c r="D615" i="7" s="1"/>
  <c r="C617" i="7"/>
  <c r="D617" i="7" s="1"/>
  <c r="C147" i="7"/>
  <c r="D147" i="7" s="1"/>
  <c r="C240" i="7"/>
  <c r="D240" i="7" s="1"/>
  <c r="C358" i="7"/>
  <c r="D358" i="7" s="1"/>
  <c r="C53" i="7"/>
  <c r="D53" i="7" s="1"/>
  <c r="C335" i="7"/>
  <c r="D335" i="7" s="1"/>
  <c r="C382" i="7"/>
  <c r="D382" i="7" s="1"/>
  <c r="C381" i="7"/>
  <c r="D381" i="7" s="1"/>
  <c r="C274" i="7"/>
  <c r="D274" i="7" s="1"/>
  <c r="C496" i="7"/>
  <c r="D496" i="7" s="1"/>
  <c r="C114" i="7"/>
  <c r="D114" i="7" s="1"/>
  <c r="C284" i="7"/>
  <c r="D284" i="7" s="1"/>
  <c r="C355" i="7"/>
  <c r="D355" i="7" s="1"/>
  <c r="C301" i="7"/>
  <c r="D301" i="7" s="1"/>
  <c r="C313" i="7"/>
  <c r="D313" i="7" s="1"/>
  <c r="C338" i="7"/>
  <c r="D338" i="7" s="1"/>
  <c r="C228" i="7"/>
  <c r="D228" i="7" s="1"/>
  <c r="C508" i="7"/>
  <c r="D508" i="7" s="1"/>
  <c r="C314" i="7"/>
  <c r="D314" i="7" s="1"/>
  <c r="C386" i="7"/>
  <c r="D386" i="7" s="1"/>
  <c r="C146" i="7"/>
  <c r="D146" i="7" s="1"/>
  <c r="C460" i="7"/>
  <c r="D460" i="7" s="1"/>
  <c r="C19" i="7"/>
  <c r="D19" i="7" s="1"/>
  <c r="C459" i="7"/>
  <c r="D459" i="7" s="1"/>
  <c r="C270" i="7"/>
  <c r="D270" i="7" s="1"/>
  <c r="C377" i="7"/>
  <c r="D377" i="7" s="1"/>
  <c r="C559" i="7"/>
  <c r="D559" i="7" s="1"/>
  <c r="C490" i="7"/>
  <c r="D490" i="7" s="1"/>
  <c r="C471" i="7"/>
  <c r="D471" i="7" s="1"/>
  <c r="C347" i="7"/>
  <c r="D347" i="7" s="1"/>
  <c r="C35" i="7"/>
  <c r="D35" i="7" s="1"/>
  <c r="C487" i="7"/>
  <c r="D487" i="7" s="1"/>
  <c r="C573" i="7"/>
  <c r="D573" i="7" s="1"/>
  <c r="C423" i="7"/>
  <c r="D423" i="7" s="1"/>
  <c r="C488" i="7"/>
  <c r="D488" i="7" s="1"/>
  <c r="C92" i="7"/>
  <c r="D92" i="7" s="1"/>
  <c r="C71" i="7"/>
  <c r="D71" i="7" s="1"/>
  <c r="C518" i="7"/>
  <c r="D518" i="7" s="1"/>
  <c r="C434" i="7"/>
  <c r="D434" i="7" s="1"/>
  <c r="C28" i="7"/>
  <c r="D28" i="7" s="1"/>
  <c r="C248" i="7"/>
  <c r="D248" i="7" s="1"/>
  <c r="C75" i="7"/>
  <c r="D75" i="7" s="1"/>
  <c r="C372" i="7"/>
  <c r="D372" i="7" s="1"/>
  <c r="C375" i="7"/>
  <c r="D375" i="7" s="1"/>
  <c r="C370" i="7"/>
  <c r="D370" i="7" s="1"/>
  <c r="C544" i="7"/>
  <c r="D544" i="7" s="1"/>
  <c r="C13" i="7"/>
  <c r="D13" i="7" s="1"/>
  <c r="C257" i="7"/>
  <c r="D257" i="7" s="1"/>
  <c r="C567" i="7"/>
  <c r="D567" i="7" s="1"/>
  <c r="C149" i="7"/>
  <c r="D149" i="7" s="1"/>
  <c r="C448" i="7"/>
  <c r="D448" i="7" s="1"/>
  <c r="C540" i="7"/>
  <c r="D540" i="7" s="1"/>
  <c r="C428" i="7"/>
  <c r="D428" i="7" s="1"/>
  <c r="C610" i="7"/>
  <c r="D610" i="7" s="1"/>
  <c r="C328" i="7"/>
  <c r="C288" i="7"/>
  <c r="D288" i="7" s="1"/>
  <c r="C507" i="7"/>
  <c r="D507" i="7" s="1"/>
  <c r="C519" i="7"/>
  <c r="D519" i="7" s="1"/>
  <c r="C120" i="7"/>
  <c r="C449" i="7"/>
  <c r="D449" i="7" s="1"/>
  <c r="C344" i="7"/>
  <c r="D344" i="7" s="1"/>
  <c r="C443" i="7"/>
  <c r="D443" i="7" s="1"/>
  <c r="C419" i="7"/>
  <c r="D419" i="7" s="1"/>
  <c r="C607" i="7"/>
  <c r="D607" i="7" s="1"/>
  <c r="C575" i="7"/>
  <c r="D575" i="7" s="1"/>
  <c r="C27" i="7"/>
  <c r="D27" i="7" s="1"/>
  <c r="C269" i="7"/>
  <c r="D269" i="7" s="1"/>
  <c r="C263" i="7"/>
  <c r="D263" i="7" s="1"/>
  <c r="C580" i="7"/>
  <c r="D580" i="7" s="1"/>
  <c r="C148" i="7"/>
  <c r="D148" i="7" s="1"/>
  <c r="C255" i="7"/>
  <c r="D255" i="7" s="1"/>
  <c r="C534" i="7"/>
  <c r="D534" i="7" s="1"/>
  <c r="C561" i="7"/>
  <c r="D561" i="7" s="1"/>
  <c r="C612" i="7"/>
  <c r="D612" i="7" s="1"/>
  <c r="C581" i="7"/>
  <c r="D581" i="7" s="1"/>
  <c r="C74" i="7"/>
  <c r="D74" i="7" s="1"/>
  <c r="C224" i="7"/>
  <c r="D224" i="7" s="1"/>
  <c r="C595" i="7"/>
  <c r="D595" i="7" s="1"/>
  <c r="C520" i="7"/>
  <c r="D520" i="7" s="1"/>
  <c r="C300" i="7"/>
  <c r="D300" i="7" s="1"/>
  <c r="C315" i="7"/>
  <c r="D315" i="7" s="1"/>
  <c r="C596" i="7"/>
  <c r="D596" i="7" s="1"/>
  <c r="C245" i="7"/>
  <c r="D245" i="7" s="1"/>
  <c r="C330" i="7"/>
  <c r="C115" i="7"/>
  <c r="D115" i="7" s="1"/>
  <c r="C430" i="7"/>
  <c r="D430" i="7" s="1"/>
  <c r="C408" i="7"/>
  <c r="D408" i="7" s="1"/>
  <c r="C609" i="7"/>
  <c r="D609" i="7" s="1"/>
  <c r="C343" i="7"/>
  <c r="D343" i="7" s="1"/>
  <c r="C482" i="7"/>
  <c r="D482" i="7" s="1"/>
  <c r="C453" i="7"/>
  <c r="D453" i="7" s="1"/>
  <c r="C217" i="7"/>
  <c r="D217" i="7" s="1"/>
  <c r="C64" i="7"/>
  <c r="D64" i="7" s="1"/>
  <c r="C319" i="7"/>
  <c r="D319" i="7" s="1"/>
  <c r="C219" i="7"/>
  <c r="D219" i="7" s="1"/>
  <c r="C400" i="7"/>
  <c r="D400" i="7" s="1"/>
  <c r="C82" i="7"/>
  <c r="C433" i="7"/>
  <c r="D433" i="7" s="1"/>
  <c r="C341" i="7"/>
  <c r="D341" i="7" s="1"/>
  <c r="C361" i="7"/>
  <c r="D361" i="7" s="1"/>
  <c r="C225" i="7"/>
  <c r="D225" i="7" s="1"/>
  <c r="C364" i="7"/>
  <c r="D364" i="7" s="1"/>
  <c r="C566" i="7"/>
  <c r="D566" i="7" s="1"/>
  <c r="C81" i="7"/>
  <c r="C268" i="7"/>
  <c r="D268" i="7" s="1"/>
  <c r="C297" i="7"/>
  <c r="D297" i="7" s="1"/>
  <c r="C622" i="7"/>
  <c r="D622" i="7" s="1"/>
  <c r="D3" i="7"/>
  <c r="C83" i="7"/>
  <c r="C283" i="7"/>
  <c r="D283" i="7" s="1"/>
  <c r="C122" i="7"/>
  <c r="C452" i="7"/>
  <c r="D452" i="7" s="1"/>
  <c r="C469" i="7"/>
  <c r="D469" i="7" s="1"/>
  <c r="C116" i="7"/>
  <c r="D116" i="7" s="1"/>
  <c r="C475" i="7"/>
  <c r="D475" i="7" s="1"/>
  <c r="C444" i="7"/>
  <c r="D444" i="7" s="1"/>
  <c r="C439" i="7"/>
  <c r="D439" i="7" s="1"/>
  <c r="C336" i="7"/>
  <c r="D336" i="7" s="1"/>
  <c r="C20" i="7"/>
  <c r="D20" i="7" s="1"/>
  <c r="C353" i="7"/>
  <c r="D353" i="7" s="1"/>
  <c r="C36" i="7"/>
  <c r="D36" i="7" s="1"/>
  <c r="C76" i="7"/>
  <c r="D76" i="7" s="1"/>
  <c r="C543" i="7"/>
  <c r="D543" i="7" s="1"/>
  <c r="C394" i="7"/>
  <c r="D394" i="7" s="1"/>
  <c r="C458" i="7"/>
  <c r="D458" i="7" s="1"/>
  <c r="C80" i="7"/>
  <c r="C552" i="7"/>
  <c r="D552" i="7" s="1"/>
  <c r="C576" i="7"/>
  <c r="D576" i="7" s="1"/>
  <c r="C523" i="7"/>
  <c r="D523" i="7" s="1"/>
  <c r="C229" i="7"/>
  <c r="D229" i="7" s="1"/>
  <c r="C535" i="7"/>
  <c r="D535" i="7" s="1"/>
  <c r="C158" i="7"/>
  <c r="D158" i="7" s="1"/>
  <c r="C142" i="7"/>
  <c r="D142" i="7" s="1"/>
  <c r="C587" i="7"/>
  <c r="D587" i="7" s="1"/>
  <c r="C329" i="7"/>
  <c r="C600" i="7"/>
  <c r="D600" i="7" s="1"/>
  <c r="C557" i="7"/>
  <c r="D557" i="7" s="1"/>
  <c r="C611" i="7"/>
  <c r="D611" i="7" s="1"/>
  <c r="C530" i="7"/>
  <c r="D530" i="7" s="1"/>
  <c r="C554" i="7"/>
  <c r="D554" i="7" s="1"/>
  <c r="C393" i="7"/>
  <c r="D393" i="7" s="1"/>
  <c r="C70" i="7"/>
  <c r="D70" i="7" s="1"/>
  <c r="C211" i="7"/>
  <c r="D211" i="7" s="1"/>
  <c r="C509" i="7"/>
  <c r="D509" i="7" s="1"/>
  <c r="C440" i="7"/>
  <c r="D440" i="7" s="1"/>
  <c r="C312" i="7"/>
  <c r="D312" i="7" s="1"/>
  <c r="C531" i="7"/>
  <c r="D531" i="7" s="1"/>
  <c r="C218" i="7"/>
  <c r="D218" i="7" s="1"/>
  <c r="C345" i="7"/>
  <c r="D345" i="7" s="1"/>
  <c r="C398" i="7"/>
  <c r="D398" i="7" s="1"/>
  <c r="C405" i="7"/>
  <c r="D405" i="7" s="1"/>
  <c r="C593" i="7"/>
  <c r="D593" i="7" s="1"/>
  <c r="C392" i="7"/>
  <c r="D392" i="7" s="1"/>
  <c r="C244" i="7"/>
  <c r="D244" i="7" s="1"/>
  <c r="C32" i="7"/>
  <c r="D32" i="7" s="1"/>
  <c r="C424" i="7"/>
  <c r="D424" i="7" s="1"/>
  <c r="C572" i="7"/>
  <c r="D572" i="7" s="1"/>
  <c r="C249" i="7"/>
  <c r="D249" i="7" s="1"/>
  <c r="C553" i="7"/>
  <c r="D553" i="7" s="1"/>
  <c r="C123" i="7"/>
  <c r="C95" i="7"/>
  <c r="D95" i="7" s="1"/>
  <c r="C539" i="7"/>
  <c r="D539" i="7" s="1"/>
  <c r="C560" i="7"/>
  <c r="D560" i="7" s="1"/>
  <c r="C376" i="7"/>
  <c r="D376" i="7" s="1"/>
  <c r="C483" i="7"/>
  <c r="D483" i="7" s="1"/>
  <c r="C342" i="7"/>
  <c r="D342" i="7" s="1"/>
  <c r="C550" i="7"/>
  <c r="D550" i="7" s="1"/>
  <c r="C337" i="7"/>
  <c r="D337" i="7" s="1"/>
  <c r="C601" i="7"/>
  <c r="D601" i="7" s="1"/>
  <c r="C569" i="7"/>
  <c r="D569" i="7" s="1"/>
  <c r="C37" i="7"/>
  <c r="D37" i="7" s="1"/>
  <c r="C223" i="7"/>
  <c r="D223" i="7" s="1"/>
  <c r="C592" i="7"/>
  <c r="D592" i="7" s="1"/>
  <c r="C418" i="7"/>
  <c r="D418" i="7" s="1"/>
  <c r="C371" i="7"/>
  <c r="D371" i="7" s="1"/>
  <c r="C399" i="7"/>
  <c r="D399" i="7" s="1"/>
  <c r="C293" i="7"/>
  <c r="D293" i="7" s="1"/>
  <c r="C494" i="7"/>
  <c r="D494" i="7" s="1"/>
  <c r="C524" i="7"/>
  <c r="D524" i="7" s="1"/>
  <c r="C239" i="7"/>
  <c r="D239" i="7" s="1"/>
  <c r="BF207" i="5"/>
  <c r="BG207" i="5" s="1"/>
  <c r="BF315" i="5"/>
  <c r="BG315" i="5" s="1"/>
  <c r="BE107" i="5"/>
  <c r="BF303" i="5"/>
  <c r="BG303" i="5" s="1"/>
  <c r="BF409" i="5"/>
  <c r="BF421" i="5" s="1"/>
  <c r="BG421" i="5" s="1"/>
  <c r="BE303" i="5"/>
  <c r="BE318" i="5" s="1"/>
  <c r="BE409" i="5"/>
  <c r="BE421" i="5" s="1"/>
  <c r="BF79" i="5"/>
  <c r="BG79" i="5" s="1"/>
  <c r="BF93" i="5"/>
  <c r="BG93" i="5" s="1"/>
  <c r="D192" i="7"/>
  <c r="D193" i="7"/>
  <c r="D190" i="7"/>
  <c r="D174" i="7"/>
  <c r="BF435" i="5"/>
  <c r="BG435" i="5" s="1"/>
  <c r="BG107" i="5"/>
  <c r="U110" i="5"/>
  <c r="AX309" i="5"/>
  <c r="P479" i="5" s="1"/>
  <c r="P480" i="5" s="1"/>
  <c r="AE389" i="5"/>
  <c r="AE40" i="5"/>
  <c r="AE385" i="5"/>
  <c r="Z207" i="5"/>
  <c r="AB303" i="5"/>
  <c r="AA303" i="5"/>
  <c r="AU269" i="5"/>
  <c r="AV308" i="5"/>
  <c r="AV309" i="5" s="1"/>
  <c r="N479" i="5" s="1"/>
  <c r="N480" i="5" s="1"/>
  <c r="AE337" i="5"/>
  <c r="AE70" i="5"/>
  <c r="AE269" i="5"/>
  <c r="AE333" i="5"/>
  <c r="AE382" i="5"/>
  <c r="AE28" i="5"/>
  <c r="AE383" i="5"/>
  <c r="AE277" i="5"/>
  <c r="Y79" i="5"/>
  <c r="Y110" i="5" s="1"/>
  <c r="Z79" i="5"/>
  <c r="Z110" i="5" s="1"/>
  <c r="W207" i="5"/>
  <c r="AE74" i="5"/>
  <c r="AD207" i="5"/>
  <c r="X303" i="5"/>
  <c r="AR269" i="5"/>
  <c r="AR309" i="5" s="1"/>
  <c r="J479" i="5" s="1"/>
  <c r="J480" i="5" s="1"/>
  <c r="AA315" i="5"/>
  <c r="AA318" i="5" s="1"/>
  <c r="AE406" i="5"/>
  <c r="AB79" i="5"/>
  <c r="AB110" i="5" s="1"/>
  <c r="AE381" i="5"/>
  <c r="X207" i="5"/>
  <c r="AO269" i="5"/>
  <c r="AT308" i="5"/>
  <c r="AT309" i="5" s="1"/>
  <c r="L479" i="5" s="1"/>
  <c r="L480" i="5" s="1"/>
  <c r="AB409" i="5"/>
  <c r="AB421" i="5" s="1"/>
  <c r="AE362" i="5"/>
  <c r="AE370" i="5"/>
  <c r="AE378" i="5"/>
  <c r="AX308" i="5"/>
  <c r="AE359" i="5"/>
  <c r="AE367" i="5"/>
  <c r="AE375" i="5"/>
  <c r="AE281" i="5"/>
  <c r="AH282" i="5"/>
  <c r="AI282" i="5" s="1"/>
  <c r="AE290" i="5"/>
  <c r="AE249" i="5"/>
  <c r="AD303" i="5"/>
  <c r="AD79" i="5"/>
  <c r="AD110" i="5" s="1"/>
  <c r="X79" i="5"/>
  <c r="X110" i="5" s="1"/>
  <c r="V80" i="5"/>
  <c r="AE66" i="5"/>
  <c r="L454" i="5"/>
  <c r="L469" i="5" s="1"/>
  <c r="AE131" i="5"/>
  <c r="AE270" i="5"/>
  <c r="T303" i="5"/>
  <c r="AE325" i="5"/>
  <c r="AE384" i="5"/>
  <c r="AE398" i="5"/>
  <c r="Z80" i="5"/>
  <c r="Z303" i="5"/>
  <c r="AC303" i="5"/>
  <c r="AW269" i="5"/>
  <c r="X409" i="5"/>
  <c r="X421" i="5" s="1"/>
  <c r="AE361" i="5"/>
  <c r="AE369" i="5"/>
  <c r="AE377" i="5"/>
  <c r="W79" i="5"/>
  <c r="W110" i="5" s="1"/>
  <c r="AE88" i="5"/>
  <c r="AE119" i="5"/>
  <c r="V303" i="5"/>
  <c r="AE349" i="5"/>
  <c r="AE386" i="5"/>
  <c r="AE266" i="5"/>
  <c r="AF266" i="5" s="1"/>
  <c r="AC315" i="5"/>
  <c r="AE336" i="5"/>
  <c r="W318" i="5"/>
  <c r="AE36" i="5"/>
  <c r="AE24" i="5"/>
  <c r="AE122" i="5"/>
  <c r="AE207" i="5" s="1"/>
  <c r="U207" i="5"/>
  <c r="AZ282" i="5"/>
  <c r="X315" i="5"/>
  <c r="AE16" i="5"/>
  <c r="U80" i="5"/>
  <c r="S79" i="5"/>
  <c r="S110" i="5" s="1"/>
  <c r="AZ274" i="5"/>
  <c r="AE250" i="5"/>
  <c r="AB315" i="5"/>
  <c r="AB318" i="5" s="1"/>
  <c r="AB454" i="5" s="1"/>
  <c r="S409" i="5"/>
  <c r="S421" i="5" s="1"/>
  <c r="AE345" i="5"/>
  <c r="V207" i="5"/>
  <c r="V318" i="5" s="1"/>
  <c r="V454" i="5" s="1"/>
  <c r="AH273" i="5"/>
  <c r="AI273" i="5" s="1"/>
  <c r="AN273" i="5"/>
  <c r="AZ273" i="5" s="1"/>
  <c r="AE273" i="5"/>
  <c r="AN279" i="5"/>
  <c r="AZ279" i="5" s="1"/>
  <c r="AE279" i="5"/>
  <c r="AH279" i="5"/>
  <c r="AI279" i="5" s="1"/>
  <c r="AZ288" i="5"/>
  <c r="T80" i="5"/>
  <c r="AE300" i="5"/>
  <c r="AH286" i="5"/>
  <c r="AI286" i="5" s="1"/>
  <c r="AO308" i="5"/>
  <c r="AO309" i="5" s="1"/>
  <c r="G479" i="5" s="1"/>
  <c r="G480" i="5" s="1"/>
  <c r="AE20" i="5"/>
  <c r="AZ276" i="5"/>
  <c r="AP308" i="5"/>
  <c r="AE97" i="5"/>
  <c r="AE107" i="5" s="1"/>
  <c r="T207" i="5"/>
  <c r="AH274" i="5"/>
  <c r="AI274" i="5" s="1"/>
  <c r="S303" i="5"/>
  <c r="AP286" i="5"/>
  <c r="AE286" i="5"/>
  <c r="AE211" i="5"/>
  <c r="AE245" i="5" s="1"/>
  <c r="S245" i="5"/>
  <c r="S318" i="5" s="1"/>
  <c r="AH288" i="5"/>
  <c r="AI288" i="5" s="1"/>
  <c r="AH275" i="5"/>
  <c r="AH291" i="5"/>
  <c r="AI291" i="5" s="1"/>
  <c r="AE307" i="5"/>
  <c r="AE315" i="5" s="1"/>
  <c r="AE346" i="5"/>
  <c r="AC79" i="5"/>
  <c r="AC110" i="5" s="1"/>
  <c r="AE62" i="5"/>
  <c r="T315" i="5"/>
  <c r="AE441" i="5"/>
  <c r="AC207" i="5"/>
  <c r="AC318" i="5" s="1"/>
  <c r="AE101" i="5"/>
  <c r="U315" i="5"/>
  <c r="AQ308" i="5"/>
  <c r="AQ309" i="5" s="1"/>
  <c r="I479" i="5" s="1"/>
  <c r="I480" i="5" s="1"/>
  <c r="AE12" i="5"/>
  <c r="K5" i="5"/>
  <c r="AR5" i="5"/>
  <c r="W5" i="5"/>
  <c r="AH272" i="5"/>
  <c r="AI272" i="5" s="1"/>
  <c r="AN272" i="5"/>
  <c r="AE272" i="5"/>
  <c r="AU308" i="5"/>
  <c r="AU309" i="5" s="1"/>
  <c r="M479" i="5" s="1"/>
  <c r="M480" i="5" s="1"/>
  <c r="T79" i="5"/>
  <c r="T110" i="5" s="1"/>
  <c r="AE254" i="5"/>
  <c r="AZ275" i="5"/>
  <c r="AZ291" i="5"/>
  <c r="AH307" i="5"/>
  <c r="AA110" i="5"/>
  <c r="AE360" i="5"/>
  <c r="AE368" i="5"/>
  <c r="AE376" i="5"/>
  <c r="V315" i="5"/>
  <c r="AS308" i="5"/>
  <c r="AS309" i="5" s="1"/>
  <c r="K479" i="5" s="1"/>
  <c r="K480" i="5" s="1"/>
  <c r="AE32" i="5"/>
  <c r="AE44" i="5"/>
  <c r="AE93" i="5"/>
  <c r="R318" i="5"/>
  <c r="R454" i="5" s="1"/>
  <c r="U303" i="5"/>
  <c r="AE274" i="5"/>
  <c r="Z315" i="5"/>
  <c r="Z318" i="5" s="1"/>
  <c r="Z454" i="5" s="1"/>
  <c r="AN308" i="5"/>
  <c r="AZ306" i="5"/>
  <c r="AZ308" i="5" s="1"/>
  <c r="AW308" i="5"/>
  <c r="AW309" i="5" s="1"/>
  <c r="O479" i="5" s="1"/>
  <c r="O480" i="5" s="1"/>
  <c r="AE353" i="5"/>
  <c r="AE358" i="5"/>
  <c r="AE366" i="5"/>
  <c r="AE374" i="5"/>
  <c r="S80" i="5"/>
  <c r="AE13" i="5"/>
  <c r="Y303" i="5"/>
  <c r="Y318" i="5" s="1"/>
  <c r="Y454" i="5" s="1"/>
  <c r="AE288" i="5"/>
  <c r="AE363" i="5"/>
  <c r="AE371" i="5"/>
  <c r="AE275" i="5"/>
  <c r="AE291" i="5"/>
  <c r="AZ307" i="5"/>
  <c r="BE110" i="5" l="1"/>
  <c r="BE454" i="5" s="1"/>
  <c r="D123" i="7"/>
  <c r="C129" i="7"/>
  <c r="D129" i="7" s="1"/>
  <c r="BF110" i="5"/>
  <c r="BG110" i="5" s="1"/>
  <c r="D329" i="7"/>
  <c r="C184" i="7"/>
  <c r="D184" i="7" s="1"/>
  <c r="D122" i="7"/>
  <c r="C128" i="7"/>
  <c r="D128" i="7" s="1"/>
  <c r="C183" i="7"/>
  <c r="D183" i="7" s="1"/>
  <c r="D328" i="7"/>
  <c r="D83" i="7"/>
  <c r="C89" i="7"/>
  <c r="D89" i="7" s="1"/>
  <c r="C182" i="7"/>
  <c r="D182" i="7" s="1"/>
  <c r="D327" i="7"/>
  <c r="C87" i="7"/>
  <c r="D87" i="7" s="1"/>
  <c r="D81" i="7"/>
  <c r="C162" i="7"/>
  <c r="D162" i="7" s="1"/>
  <c r="C161" i="7"/>
  <c r="D161" i="7" s="1"/>
  <c r="C476" i="7"/>
  <c r="D476" i="7" s="1"/>
  <c r="D4" i="7"/>
  <c r="C105" i="7"/>
  <c r="D105" i="7" s="1"/>
  <c r="C502" i="7"/>
  <c r="D502" i="7" s="1"/>
  <c r="C40" i="7"/>
  <c r="D40" i="7" s="1"/>
  <c r="C545" i="7"/>
  <c r="D545" i="7" s="1"/>
  <c r="C99" i="7"/>
  <c r="D99" i="7" s="1"/>
  <c r="C200" i="7"/>
  <c r="D200" i="7" s="1"/>
  <c r="C38" i="7"/>
  <c r="D38" i="7" s="1"/>
  <c r="C198" i="7"/>
  <c r="D198" i="7" s="1"/>
  <c r="C525" i="7"/>
  <c r="D525" i="7" s="1"/>
  <c r="C57" i="7"/>
  <c r="D57" i="7" s="1"/>
  <c r="C133" i="7"/>
  <c r="D133" i="7" s="1"/>
  <c r="C58" i="7"/>
  <c r="D58" i="7" s="1"/>
  <c r="C197" i="7"/>
  <c r="D197" i="7" s="1"/>
  <c r="C98" i="7"/>
  <c r="D98" i="7" s="1"/>
  <c r="C196" i="7"/>
  <c r="D196" i="7" s="1"/>
  <c r="C199" i="7"/>
  <c r="D199" i="7" s="1"/>
  <c r="C203" i="7"/>
  <c r="D203" i="7" s="1"/>
  <c r="C132" i="7"/>
  <c r="D132" i="7" s="1"/>
  <c r="C185" i="7"/>
  <c r="D185" i="7" s="1"/>
  <c r="D330" i="7"/>
  <c r="D331" i="7"/>
  <c r="C186" i="7"/>
  <c r="D186" i="7" s="1"/>
  <c r="D120" i="7"/>
  <c r="C126" i="7"/>
  <c r="D126" i="7" s="1"/>
  <c r="C127" i="7"/>
  <c r="D127" i="7" s="1"/>
  <c r="D121" i="7"/>
  <c r="BF318" i="5"/>
  <c r="BG318" i="5" s="1"/>
  <c r="D80" i="7"/>
  <c r="C86" i="7"/>
  <c r="D86" i="7" s="1"/>
  <c r="BG409" i="5"/>
  <c r="D82" i="7"/>
  <c r="C88" i="7"/>
  <c r="D88" i="7" s="1"/>
  <c r="AE79" i="5"/>
  <c r="AE110" i="5" s="1"/>
  <c r="X318" i="5"/>
  <c r="X454" i="5" s="1"/>
  <c r="AE303" i="5"/>
  <c r="W454" i="5"/>
  <c r="AA454" i="5"/>
  <c r="AD318" i="5"/>
  <c r="AD454" i="5" s="1"/>
  <c r="AE318" i="5"/>
  <c r="AP269" i="5"/>
  <c r="AP309" i="5" s="1"/>
  <c r="H479" i="5" s="1"/>
  <c r="H480" i="5" s="1"/>
  <c r="AZ286" i="5"/>
  <c r="S454" i="5"/>
  <c r="AN269" i="5"/>
  <c r="AN309" i="5" s="1"/>
  <c r="F479" i="5" s="1"/>
  <c r="F480" i="5" s="1"/>
  <c r="F481" i="5" s="1"/>
  <c r="AZ272" i="5"/>
  <c r="AC454" i="5"/>
  <c r="AE409" i="5"/>
  <c r="AE421" i="5" s="1"/>
  <c r="U318" i="5"/>
  <c r="U454" i="5" s="1"/>
  <c r="AS5" i="5"/>
  <c r="X5" i="5"/>
  <c r="L5" i="5"/>
  <c r="AH269" i="5"/>
  <c r="AH308" i="5" s="1"/>
  <c r="AI275" i="5"/>
  <c r="AI269" i="5" s="1"/>
  <c r="T318" i="5"/>
  <c r="T454" i="5" s="1"/>
  <c r="BF454" i="5" l="1"/>
  <c r="BG3" i="5" s="1"/>
  <c r="C235" i="7"/>
  <c r="D235" i="7" s="1"/>
  <c r="C143" i="7"/>
  <c r="D143" i="7" s="1"/>
  <c r="C204" i="7"/>
  <c r="D204" i="7" s="1"/>
  <c r="C62" i="7"/>
  <c r="D62" i="7" s="1"/>
  <c r="C138" i="7"/>
  <c r="D138" i="7" s="1"/>
  <c r="C233" i="7"/>
  <c r="D233" i="7" s="1"/>
  <c r="C109" i="7"/>
  <c r="D109" i="7" s="1"/>
  <c r="C102" i="7"/>
  <c r="D102" i="7" s="1"/>
  <c r="C110" i="7"/>
  <c r="D110" i="7" s="1"/>
  <c r="C61" i="7"/>
  <c r="D61" i="7" s="1"/>
  <c r="C136" i="7"/>
  <c r="D136" i="7" s="1"/>
  <c r="C39" i="7"/>
  <c r="D39" i="7" s="1"/>
  <c r="AE454" i="5"/>
  <c r="AZ269" i="5"/>
  <c r="AZ309" i="5" s="1"/>
  <c r="AT5" i="5"/>
  <c r="Y5" i="5"/>
  <c r="M5" i="5"/>
  <c r="BG454" i="5" l="1"/>
  <c r="N5" i="5"/>
  <c r="AU5" i="5"/>
  <c r="Z5" i="5"/>
  <c r="O5" i="5" l="1"/>
  <c r="AV5" i="5"/>
  <c r="AA5" i="5"/>
  <c r="AW5" i="5" l="1"/>
  <c r="AB5" i="5"/>
  <c r="P5" i="5"/>
  <c r="AX5" i="5" l="1"/>
  <c r="AC5" i="5"/>
  <c r="Q5" i="5"/>
  <c r="AY5" i="5" l="1"/>
  <c r="AD5" i="5"/>
  <c r="AS546" i="1" l="1"/>
  <c r="AQ546" i="1"/>
  <c r="AS545" i="1"/>
  <c r="AQ545" i="1"/>
  <c r="AS544" i="1"/>
  <c r="AQ544" i="1"/>
  <c r="AS543" i="1"/>
  <c r="AQ543" i="1"/>
  <c r="AS542" i="1"/>
  <c r="AQ542" i="1"/>
  <c r="AS541" i="1"/>
  <c r="AQ541" i="1"/>
  <c r="AS540" i="1"/>
  <c r="AQ540" i="1"/>
  <c r="AS539" i="1"/>
  <c r="AQ539" i="1"/>
  <c r="AS538" i="1"/>
  <c r="AQ538" i="1"/>
  <c r="AS537" i="1"/>
  <c r="AQ537" i="1"/>
  <c r="AS536" i="1"/>
  <c r="AQ536" i="1"/>
  <c r="AS535" i="1"/>
  <c r="AQ535" i="1"/>
  <c r="AS534" i="1"/>
  <c r="AQ534" i="1"/>
  <c r="AS533" i="1"/>
  <c r="AQ533" i="1"/>
  <c r="AS532" i="1"/>
  <c r="AQ532" i="1"/>
  <c r="AS531" i="1"/>
  <c r="AQ531" i="1"/>
  <c r="AS530" i="1"/>
  <c r="AQ530" i="1"/>
  <c r="AS529" i="1"/>
  <c r="AQ529" i="1"/>
  <c r="AS528" i="1"/>
  <c r="AQ528" i="1"/>
  <c r="AS527" i="1"/>
  <c r="AQ527" i="1"/>
  <c r="AS526" i="1"/>
  <c r="AQ526" i="1"/>
  <c r="AS525" i="1"/>
  <c r="AQ525" i="1"/>
  <c r="AS524" i="1"/>
  <c r="AQ524" i="1"/>
  <c r="AS523" i="1"/>
  <c r="AQ523" i="1"/>
  <c r="AS522" i="1"/>
  <c r="AQ522" i="1"/>
  <c r="AS521" i="1"/>
  <c r="AQ521" i="1"/>
  <c r="AS520" i="1"/>
  <c r="AQ520" i="1"/>
  <c r="AS519" i="1"/>
  <c r="AQ519" i="1"/>
  <c r="AS518" i="1"/>
  <c r="AQ518" i="1"/>
  <c r="AS517" i="1"/>
  <c r="AQ517" i="1"/>
  <c r="AS516" i="1"/>
  <c r="AQ516" i="1"/>
  <c r="AS515" i="1"/>
  <c r="AQ515" i="1"/>
  <c r="AS514" i="1"/>
  <c r="AQ514" i="1"/>
  <c r="AS513" i="1"/>
  <c r="AQ513" i="1"/>
  <c r="AS512" i="1"/>
  <c r="AQ512" i="1"/>
  <c r="AS511" i="1"/>
  <c r="AQ511" i="1"/>
  <c r="AS510" i="1"/>
  <c r="AQ510" i="1"/>
  <c r="AS509" i="1"/>
  <c r="AQ509" i="1"/>
  <c r="AS508" i="1"/>
  <c r="AQ508" i="1"/>
  <c r="AS507" i="1"/>
  <c r="AQ507" i="1"/>
  <c r="AS506" i="1"/>
  <c r="AQ506" i="1"/>
  <c r="AS505" i="1"/>
  <c r="AQ505" i="1"/>
  <c r="AS504" i="1"/>
  <c r="AQ504" i="1"/>
  <c r="AS503" i="1"/>
  <c r="AQ503" i="1"/>
  <c r="AS502" i="1"/>
  <c r="AQ502" i="1"/>
  <c r="AS501" i="1"/>
  <c r="AQ501" i="1"/>
  <c r="AS500" i="1"/>
  <c r="AQ500" i="1"/>
  <c r="AS499" i="1"/>
  <c r="AQ499" i="1"/>
  <c r="AS498" i="1"/>
  <c r="AQ498" i="1"/>
  <c r="AS497" i="1"/>
  <c r="AQ497" i="1"/>
  <c r="AS496" i="1"/>
  <c r="AQ496" i="1"/>
  <c r="AS495" i="1"/>
  <c r="AQ495" i="1"/>
  <c r="AS494" i="1"/>
  <c r="AQ494" i="1"/>
  <c r="AS493" i="1"/>
  <c r="AQ493" i="1"/>
  <c r="AS492" i="1"/>
  <c r="AQ492" i="1"/>
  <c r="AS491" i="1"/>
  <c r="AQ491" i="1"/>
  <c r="AS490" i="1"/>
  <c r="AQ490" i="1"/>
  <c r="AS489" i="1"/>
  <c r="AQ489" i="1"/>
  <c r="AS488" i="1"/>
  <c r="AQ488" i="1"/>
  <c r="AS487" i="1"/>
  <c r="AQ487" i="1"/>
  <c r="AS486" i="1"/>
  <c r="AQ486" i="1"/>
  <c r="AS485" i="1"/>
  <c r="AQ485" i="1"/>
  <c r="AS484" i="1"/>
  <c r="AQ484" i="1"/>
  <c r="AS483" i="1"/>
  <c r="AQ483" i="1"/>
  <c r="AS482" i="1"/>
  <c r="AQ482" i="1"/>
  <c r="AS481" i="1"/>
  <c r="AQ481" i="1"/>
  <c r="AS480" i="1"/>
  <c r="AQ480" i="1"/>
  <c r="AS479" i="1"/>
  <c r="AQ479" i="1"/>
  <c r="AS478" i="1"/>
  <c r="AQ478" i="1"/>
  <c r="AS477" i="1"/>
  <c r="AQ477" i="1"/>
  <c r="AS476" i="1"/>
  <c r="AQ476" i="1"/>
  <c r="AS475" i="1"/>
  <c r="AQ475" i="1"/>
  <c r="AS474" i="1"/>
  <c r="AQ474" i="1"/>
  <c r="AS473" i="1"/>
  <c r="AQ473" i="1"/>
  <c r="AS472" i="1"/>
  <c r="AQ472" i="1"/>
  <c r="AS471" i="1"/>
  <c r="AQ471" i="1"/>
  <c r="AS470" i="1"/>
  <c r="AQ470" i="1"/>
  <c r="AS469" i="1"/>
  <c r="AQ469" i="1"/>
  <c r="AS468" i="1"/>
  <c r="AQ468" i="1"/>
  <c r="AS467" i="1"/>
  <c r="AQ467" i="1"/>
  <c r="AS466" i="1"/>
  <c r="AQ466" i="1"/>
  <c r="AS465" i="1"/>
  <c r="AQ465" i="1"/>
  <c r="AS464" i="1"/>
  <c r="AQ464" i="1"/>
  <c r="AS463" i="1"/>
  <c r="AQ463" i="1"/>
  <c r="AS462" i="1"/>
  <c r="AQ462" i="1"/>
  <c r="AS461" i="1"/>
  <c r="AQ461" i="1"/>
  <c r="AS460" i="1"/>
  <c r="AQ460" i="1"/>
  <c r="AS459" i="1"/>
  <c r="AQ459" i="1"/>
  <c r="AS458" i="1"/>
  <c r="AQ458" i="1"/>
  <c r="AS457" i="1"/>
  <c r="AQ457" i="1"/>
  <c r="AS456" i="1"/>
  <c r="AQ456" i="1"/>
  <c r="AS455" i="1"/>
  <c r="AQ455" i="1"/>
  <c r="AS454" i="1"/>
  <c r="AQ454" i="1"/>
  <c r="AS453" i="1"/>
  <c r="AQ453" i="1"/>
  <c r="AS452" i="1"/>
  <c r="AQ452" i="1"/>
  <c r="AS451" i="1"/>
  <c r="AQ451" i="1"/>
  <c r="AS450" i="1"/>
  <c r="AQ450" i="1"/>
  <c r="AS449" i="1"/>
  <c r="AQ449" i="1"/>
  <c r="AS448" i="1"/>
  <c r="AQ448" i="1"/>
  <c r="AS447" i="1"/>
  <c r="AQ447" i="1"/>
  <c r="AS446" i="1"/>
  <c r="AQ446" i="1"/>
  <c r="AS445" i="1"/>
  <c r="AQ445" i="1"/>
  <c r="AS444" i="1"/>
  <c r="AQ444" i="1"/>
  <c r="AS443" i="1"/>
  <c r="AQ443" i="1"/>
  <c r="AS442" i="1"/>
  <c r="AQ442" i="1"/>
  <c r="AS441" i="1"/>
  <c r="AQ441" i="1"/>
  <c r="AS440" i="1"/>
  <c r="AQ440" i="1"/>
  <c r="AS439" i="1"/>
  <c r="AQ439" i="1"/>
  <c r="AS438" i="1"/>
  <c r="AQ438" i="1"/>
  <c r="AS437" i="1"/>
  <c r="AQ437" i="1"/>
  <c r="AS436" i="1"/>
  <c r="AQ436" i="1"/>
  <c r="AS435" i="1"/>
  <c r="AQ435" i="1"/>
  <c r="AS434" i="1"/>
  <c r="AQ434" i="1"/>
  <c r="AS433" i="1"/>
  <c r="AQ433" i="1"/>
  <c r="AS432" i="1"/>
  <c r="AQ432" i="1"/>
  <c r="AS431" i="1"/>
  <c r="AQ431" i="1"/>
  <c r="AS430" i="1"/>
  <c r="AQ430" i="1"/>
  <c r="AS429" i="1"/>
  <c r="AQ429" i="1"/>
  <c r="AS428" i="1"/>
  <c r="AQ428" i="1"/>
  <c r="AS427" i="1"/>
  <c r="AQ427" i="1"/>
  <c r="AS426" i="1"/>
  <c r="AQ426" i="1"/>
  <c r="AS425" i="1"/>
  <c r="AQ425" i="1"/>
  <c r="AS424" i="1"/>
  <c r="AQ424" i="1"/>
  <c r="AS423" i="1"/>
  <c r="AQ423" i="1"/>
  <c r="AS422" i="1"/>
  <c r="AQ422" i="1"/>
  <c r="AS421" i="1"/>
  <c r="AQ421" i="1"/>
  <c r="AS420" i="1"/>
  <c r="AQ420" i="1"/>
  <c r="AS419" i="1"/>
  <c r="AQ419" i="1"/>
  <c r="AS418" i="1"/>
  <c r="AQ418" i="1"/>
  <c r="AS417" i="1"/>
  <c r="AQ417" i="1"/>
  <c r="AS416" i="1"/>
  <c r="AQ416" i="1"/>
  <c r="AS415" i="1"/>
  <c r="AQ415" i="1"/>
  <c r="AS414" i="1"/>
  <c r="AQ414" i="1"/>
  <c r="AS413" i="1"/>
  <c r="AQ413" i="1"/>
  <c r="AS412" i="1"/>
  <c r="AQ412" i="1"/>
  <c r="AS411" i="1"/>
  <c r="AQ411" i="1"/>
  <c r="AS410" i="1"/>
  <c r="AQ410" i="1"/>
  <c r="AS409" i="1"/>
  <c r="AQ409" i="1"/>
  <c r="AS408" i="1"/>
  <c r="AQ408" i="1"/>
  <c r="AS407" i="1"/>
  <c r="AQ407" i="1"/>
  <c r="AS406" i="1"/>
  <c r="AQ406" i="1"/>
  <c r="AS405" i="1"/>
  <c r="AQ405" i="1"/>
  <c r="AS404" i="1"/>
  <c r="AQ404" i="1"/>
  <c r="AS403" i="1"/>
  <c r="AQ403" i="1"/>
  <c r="AS402" i="1"/>
  <c r="AQ402" i="1"/>
  <c r="AS401" i="1"/>
  <c r="AQ401" i="1"/>
  <c r="AS400" i="1"/>
  <c r="AQ400" i="1"/>
  <c r="AS399" i="1"/>
  <c r="AQ399" i="1"/>
  <c r="AS398" i="1"/>
  <c r="AQ398" i="1"/>
  <c r="AS397" i="1"/>
  <c r="AQ397" i="1"/>
  <c r="AS396" i="1"/>
  <c r="AQ396" i="1"/>
  <c r="AS395" i="1"/>
  <c r="AQ395" i="1"/>
  <c r="AS394" i="1"/>
  <c r="AQ394" i="1"/>
  <c r="AS393" i="1"/>
  <c r="AQ393" i="1"/>
  <c r="AS392" i="1"/>
  <c r="AQ392" i="1"/>
  <c r="AS391" i="1"/>
  <c r="AQ391" i="1"/>
  <c r="AS390" i="1"/>
  <c r="AQ390" i="1"/>
  <c r="AS389" i="1"/>
  <c r="AQ389" i="1"/>
  <c r="AS388" i="1"/>
  <c r="AQ388" i="1"/>
  <c r="AS387" i="1"/>
  <c r="AQ387" i="1"/>
  <c r="AS386" i="1"/>
  <c r="AQ386" i="1"/>
  <c r="AS385" i="1"/>
  <c r="AQ385" i="1"/>
  <c r="AS384" i="1"/>
  <c r="AQ384" i="1"/>
  <c r="AS383" i="1"/>
  <c r="AQ383" i="1"/>
  <c r="AS382" i="1"/>
  <c r="AQ382" i="1"/>
  <c r="AS381" i="1"/>
  <c r="AQ381" i="1"/>
  <c r="AS380" i="1"/>
  <c r="AQ380" i="1"/>
  <c r="AS379" i="1"/>
  <c r="AQ379" i="1"/>
  <c r="AS378" i="1"/>
  <c r="AQ378" i="1"/>
  <c r="AS377" i="1"/>
  <c r="AQ377" i="1"/>
  <c r="AS376" i="1"/>
  <c r="AQ376" i="1"/>
  <c r="AS375" i="1"/>
  <c r="AQ375" i="1"/>
  <c r="AS374" i="1"/>
  <c r="AQ374" i="1"/>
  <c r="AS373" i="1"/>
  <c r="AQ373" i="1"/>
  <c r="AS372" i="1"/>
  <c r="AQ372" i="1"/>
  <c r="AS371" i="1"/>
  <c r="AQ371" i="1"/>
  <c r="AS370" i="1"/>
  <c r="AQ370" i="1"/>
  <c r="AS369" i="1"/>
  <c r="AQ369" i="1"/>
  <c r="AS368" i="1"/>
  <c r="AQ368" i="1"/>
  <c r="AS367" i="1"/>
  <c r="AQ367" i="1"/>
  <c r="AS366" i="1"/>
  <c r="AQ366" i="1"/>
  <c r="AS365" i="1"/>
  <c r="AQ365" i="1"/>
  <c r="AS364" i="1"/>
  <c r="AQ364" i="1"/>
  <c r="AS363" i="1"/>
  <c r="AQ363" i="1"/>
  <c r="AS362" i="1"/>
  <c r="AQ362" i="1"/>
  <c r="AS361" i="1"/>
  <c r="AQ361" i="1"/>
  <c r="AS360" i="1"/>
  <c r="AQ360" i="1"/>
  <c r="AS359" i="1"/>
  <c r="AQ359" i="1"/>
  <c r="AS358" i="1"/>
  <c r="AQ358" i="1"/>
  <c r="AS357" i="1"/>
  <c r="AQ357" i="1"/>
  <c r="AS356" i="1"/>
  <c r="AQ356" i="1"/>
  <c r="AS355" i="1"/>
  <c r="AQ355" i="1"/>
  <c r="AS354" i="1"/>
  <c r="AQ354" i="1"/>
  <c r="AS353" i="1"/>
  <c r="AQ353" i="1"/>
  <c r="AS352" i="1"/>
  <c r="AQ352" i="1"/>
  <c r="AS351" i="1"/>
  <c r="AQ351" i="1"/>
  <c r="AS350" i="1"/>
  <c r="AQ350" i="1"/>
  <c r="AS349" i="1"/>
  <c r="AQ349" i="1"/>
  <c r="AS348" i="1"/>
  <c r="AQ348" i="1"/>
  <c r="AS347" i="1"/>
  <c r="AQ347" i="1"/>
  <c r="AS346" i="1"/>
  <c r="AQ346" i="1"/>
  <c r="AS345" i="1"/>
  <c r="AQ345" i="1"/>
  <c r="AS344" i="1"/>
  <c r="AQ344" i="1"/>
  <c r="AS343" i="1"/>
  <c r="AQ343" i="1"/>
  <c r="AS342" i="1"/>
  <c r="AQ342" i="1"/>
  <c r="AS341" i="1"/>
  <c r="AQ341" i="1"/>
  <c r="AS340" i="1"/>
  <c r="AQ340" i="1"/>
  <c r="AS339" i="1"/>
  <c r="AQ339" i="1"/>
  <c r="AS338" i="1"/>
  <c r="AQ338" i="1"/>
  <c r="AS337" i="1"/>
  <c r="AQ337" i="1"/>
  <c r="AS336" i="1"/>
  <c r="AQ336" i="1"/>
  <c r="AS335" i="1"/>
  <c r="AQ335" i="1"/>
  <c r="AS334" i="1"/>
  <c r="AQ334" i="1"/>
  <c r="AS333" i="1"/>
  <c r="AQ333" i="1"/>
  <c r="AS332" i="1"/>
  <c r="AQ332" i="1"/>
  <c r="AS331" i="1"/>
  <c r="AQ331" i="1"/>
  <c r="AS330" i="1"/>
  <c r="AQ330" i="1"/>
  <c r="AS329" i="1"/>
  <c r="AQ329" i="1"/>
  <c r="AS328" i="1"/>
  <c r="AQ328" i="1"/>
  <c r="AS327" i="1"/>
  <c r="AQ327" i="1"/>
  <c r="AS326" i="1"/>
  <c r="AQ326" i="1"/>
  <c r="AS325" i="1"/>
  <c r="AQ325" i="1"/>
  <c r="AS324" i="1"/>
  <c r="AQ324" i="1"/>
  <c r="AS323" i="1"/>
  <c r="AQ323" i="1"/>
  <c r="AS322" i="1"/>
  <c r="AQ322" i="1"/>
  <c r="AS321" i="1"/>
  <c r="AQ321" i="1"/>
  <c r="AS320" i="1"/>
  <c r="AQ320" i="1"/>
  <c r="AS319" i="1"/>
  <c r="AQ319" i="1"/>
  <c r="AS318" i="1"/>
  <c r="AQ318" i="1"/>
  <c r="AS317" i="1"/>
  <c r="AQ317" i="1"/>
  <c r="AS316" i="1"/>
  <c r="AQ316" i="1"/>
  <c r="AS315" i="1"/>
  <c r="AQ315" i="1"/>
  <c r="AS314" i="1"/>
  <c r="AQ314" i="1"/>
  <c r="AS313" i="1"/>
  <c r="AQ313" i="1"/>
  <c r="AS312" i="1"/>
  <c r="AQ312" i="1"/>
  <c r="AS311" i="1"/>
  <c r="AQ311" i="1"/>
  <c r="AS310" i="1"/>
  <c r="AQ310" i="1"/>
  <c r="AS309" i="1"/>
  <c r="AQ309" i="1"/>
  <c r="AS308" i="1"/>
  <c r="AQ308" i="1"/>
  <c r="AS307" i="1"/>
  <c r="AQ307" i="1"/>
  <c r="AS306" i="1"/>
  <c r="AQ306" i="1"/>
  <c r="AS305" i="1"/>
  <c r="AQ305" i="1"/>
  <c r="AS304" i="1"/>
  <c r="AQ304" i="1"/>
  <c r="AS303" i="1"/>
  <c r="AQ303" i="1"/>
  <c r="AS302" i="1"/>
  <c r="AQ302" i="1"/>
  <c r="AS301" i="1"/>
  <c r="AQ301" i="1"/>
  <c r="AS300" i="1"/>
  <c r="AQ300" i="1"/>
  <c r="AS299" i="1"/>
  <c r="AQ299" i="1"/>
  <c r="AS298" i="1"/>
  <c r="AQ298" i="1"/>
  <c r="AS297" i="1"/>
  <c r="AQ297" i="1"/>
  <c r="AS296" i="1"/>
  <c r="AQ296" i="1"/>
  <c r="AS295" i="1"/>
  <c r="AQ295" i="1"/>
  <c r="AS294" i="1"/>
  <c r="AQ294" i="1"/>
  <c r="AS293" i="1"/>
  <c r="AQ293" i="1"/>
  <c r="AS292" i="1"/>
  <c r="AQ292" i="1"/>
  <c r="AS291" i="1"/>
  <c r="AQ291" i="1"/>
  <c r="AS290" i="1"/>
  <c r="AQ290" i="1"/>
  <c r="AS289" i="1"/>
  <c r="AQ289" i="1"/>
  <c r="AS288" i="1"/>
  <c r="AQ288" i="1"/>
  <c r="AS287" i="1"/>
  <c r="AQ287" i="1"/>
  <c r="AS286" i="1"/>
  <c r="AQ286" i="1"/>
  <c r="AS285" i="1"/>
  <c r="AQ285" i="1"/>
  <c r="AS284" i="1"/>
  <c r="AQ284" i="1"/>
  <c r="AS283" i="1"/>
  <c r="AQ283" i="1"/>
  <c r="AS282" i="1"/>
  <c r="AQ282" i="1"/>
  <c r="AS281" i="1"/>
  <c r="AQ281" i="1"/>
  <c r="AS280" i="1"/>
  <c r="AQ280" i="1"/>
  <c r="AS279" i="1"/>
  <c r="AQ279" i="1"/>
  <c r="AS278" i="1"/>
  <c r="AQ278" i="1"/>
  <c r="AS277" i="1"/>
  <c r="AQ277" i="1"/>
  <c r="AS276" i="1"/>
  <c r="AQ276" i="1"/>
  <c r="AS275" i="1"/>
  <c r="AQ275" i="1"/>
  <c r="AS274" i="1"/>
  <c r="AQ274" i="1"/>
  <c r="AS273" i="1"/>
  <c r="AQ273" i="1"/>
  <c r="AS272" i="1"/>
  <c r="AQ272" i="1"/>
  <c r="AS271" i="1"/>
  <c r="AQ271" i="1"/>
  <c r="AS270" i="1"/>
  <c r="AQ270" i="1"/>
  <c r="AS269" i="1"/>
  <c r="AQ269" i="1"/>
  <c r="AS268" i="1"/>
  <c r="AQ268" i="1"/>
  <c r="AS267" i="1"/>
  <c r="AQ267" i="1"/>
  <c r="AS266" i="1"/>
  <c r="AQ266" i="1"/>
  <c r="AS265" i="1"/>
  <c r="AQ265" i="1"/>
  <c r="AS264" i="1"/>
  <c r="AQ264" i="1"/>
  <c r="AS263" i="1"/>
  <c r="AQ263" i="1"/>
  <c r="AS262" i="1"/>
  <c r="AQ262" i="1"/>
  <c r="AS261" i="1"/>
  <c r="AQ261" i="1"/>
  <c r="AS260" i="1"/>
  <c r="AQ260" i="1"/>
  <c r="AS259" i="1"/>
  <c r="AQ259" i="1"/>
  <c r="AS258" i="1"/>
  <c r="AQ258" i="1"/>
  <c r="AS257" i="1"/>
  <c r="AQ257" i="1"/>
  <c r="AS256" i="1"/>
  <c r="AQ256" i="1"/>
  <c r="AS255" i="1"/>
  <c r="AQ255" i="1"/>
  <c r="AS254" i="1"/>
  <c r="AQ254" i="1"/>
  <c r="AS253" i="1"/>
  <c r="AQ253" i="1"/>
  <c r="AS252" i="1"/>
  <c r="AQ252" i="1"/>
  <c r="AS251" i="1"/>
  <c r="AQ251" i="1"/>
  <c r="AS250" i="1"/>
  <c r="AQ250" i="1"/>
  <c r="AS249" i="1"/>
  <c r="AQ249" i="1"/>
  <c r="AS248" i="1"/>
  <c r="AQ248" i="1"/>
  <c r="AS247" i="1"/>
  <c r="AQ247" i="1"/>
  <c r="AS246" i="1"/>
  <c r="AQ246" i="1"/>
  <c r="AS245" i="1"/>
  <c r="AQ245" i="1"/>
  <c r="AS244" i="1"/>
  <c r="AQ244" i="1"/>
  <c r="AS243" i="1"/>
  <c r="AQ243" i="1"/>
  <c r="AS242" i="1"/>
  <c r="AQ242" i="1"/>
  <c r="AS241" i="1"/>
  <c r="AQ241" i="1"/>
  <c r="AS240" i="1"/>
  <c r="AQ240" i="1"/>
  <c r="AS239" i="1"/>
  <c r="AQ239" i="1"/>
  <c r="AS238" i="1"/>
  <c r="AQ238" i="1"/>
  <c r="AS237" i="1"/>
  <c r="AQ237" i="1"/>
  <c r="AS236" i="1"/>
  <c r="AQ236" i="1"/>
  <c r="AS235" i="1"/>
  <c r="AQ235" i="1"/>
  <c r="AS234" i="1"/>
  <c r="AQ234" i="1"/>
  <c r="AS233" i="1"/>
  <c r="AQ233" i="1"/>
  <c r="AS232" i="1"/>
  <c r="AQ232" i="1"/>
  <c r="AS231" i="1"/>
  <c r="AQ231" i="1"/>
  <c r="AS230" i="1"/>
  <c r="AQ230" i="1"/>
  <c r="AS229" i="1"/>
  <c r="AQ229" i="1"/>
  <c r="AS228" i="1"/>
  <c r="AQ228" i="1"/>
  <c r="AS227" i="1"/>
  <c r="AQ227" i="1"/>
  <c r="AS226" i="1"/>
  <c r="AQ226" i="1"/>
  <c r="AS225" i="1"/>
  <c r="AQ225" i="1"/>
  <c r="AS224" i="1"/>
  <c r="AQ224" i="1"/>
  <c r="AS223" i="1"/>
  <c r="AQ223" i="1"/>
  <c r="AS222" i="1"/>
  <c r="AQ222" i="1"/>
  <c r="AS221" i="1"/>
  <c r="AQ221" i="1"/>
  <c r="AS220" i="1"/>
  <c r="AQ220" i="1"/>
  <c r="AS219" i="1"/>
  <c r="AQ219" i="1"/>
  <c r="AS218" i="1"/>
  <c r="AQ218" i="1"/>
  <c r="AS217" i="1"/>
  <c r="AQ217" i="1"/>
  <c r="AS216" i="1"/>
  <c r="AQ216" i="1"/>
  <c r="AS215" i="1"/>
  <c r="AQ215" i="1"/>
  <c r="AS214" i="1"/>
  <c r="AQ214" i="1"/>
  <c r="AS213" i="1"/>
  <c r="AQ213" i="1"/>
  <c r="AS212" i="1"/>
  <c r="AQ212" i="1"/>
  <c r="AS211" i="1"/>
  <c r="AQ211" i="1"/>
  <c r="AS210" i="1"/>
  <c r="AQ210" i="1"/>
  <c r="AS209" i="1"/>
  <c r="AQ209" i="1"/>
  <c r="AS208" i="1"/>
  <c r="AQ208" i="1"/>
  <c r="AS207" i="1"/>
  <c r="AQ207" i="1"/>
  <c r="AS206" i="1"/>
  <c r="AQ206" i="1"/>
  <c r="AS205" i="1"/>
  <c r="AQ205" i="1"/>
  <c r="AS204" i="1"/>
  <c r="AQ204" i="1"/>
  <c r="AS203" i="1"/>
  <c r="AQ203" i="1"/>
  <c r="AS202" i="1"/>
  <c r="AQ202" i="1"/>
  <c r="AS201" i="1"/>
  <c r="AQ201" i="1"/>
  <c r="AS200" i="1"/>
  <c r="AQ200" i="1"/>
  <c r="AS199" i="1"/>
  <c r="AQ199" i="1"/>
  <c r="AS198" i="1"/>
  <c r="AQ198" i="1"/>
  <c r="AS197" i="1"/>
  <c r="AQ197" i="1"/>
  <c r="AS196" i="1"/>
  <c r="AQ196" i="1"/>
  <c r="AS195" i="1"/>
  <c r="AQ195" i="1"/>
  <c r="AS194" i="1"/>
  <c r="AQ194" i="1"/>
  <c r="AS193" i="1"/>
  <c r="AQ193" i="1"/>
  <c r="AS192" i="1"/>
  <c r="AQ192" i="1"/>
  <c r="AS191" i="1"/>
  <c r="AQ191" i="1"/>
  <c r="AS190" i="1"/>
  <c r="AQ190" i="1"/>
  <c r="AS189" i="1"/>
  <c r="AQ189" i="1"/>
  <c r="AS188" i="1"/>
  <c r="AQ188" i="1"/>
  <c r="AS187" i="1"/>
  <c r="AQ187" i="1"/>
  <c r="AS186" i="1"/>
  <c r="AQ186" i="1"/>
  <c r="AS185" i="1"/>
  <c r="AQ185" i="1"/>
  <c r="AS184" i="1"/>
  <c r="AQ184" i="1"/>
  <c r="AS183" i="1"/>
  <c r="AQ183" i="1"/>
  <c r="AS182" i="1"/>
  <c r="AQ182" i="1"/>
  <c r="AS181" i="1"/>
  <c r="AQ181" i="1"/>
  <c r="AS180" i="1"/>
  <c r="AQ180" i="1"/>
  <c r="AS179" i="1"/>
  <c r="AQ179" i="1"/>
  <c r="AS178" i="1"/>
  <c r="AQ178" i="1"/>
  <c r="AS177" i="1"/>
  <c r="AQ177" i="1"/>
  <c r="AS176" i="1"/>
  <c r="AQ176" i="1"/>
  <c r="AS175" i="1"/>
  <c r="AQ175" i="1"/>
  <c r="AS174" i="1"/>
  <c r="AQ174" i="1"/>
  <c r="AS173" i="1"/>
  <c r="AQ173" i="1"/>
  <c r="AS172" i="1"/>
  <c r="AQ172" i="1"/>
  <c r="AS171" i="1"/>
  <c r="AQ171" i="1"/>
  <c r="AS170" i="1"/>
  <c r="AQ170" i="1"/>
  <c r="AS169" i="1"/>
  <c r="AQ169" i="1"/>
  <c r="AS168" i="1"/>
  <c r="AQ168" i="1"/>
  <c r="AS167" i="1"/>
  <c r="AQ167" i="1"/>
  <c r="AS166" i="1"/>
  <c r="AQ166" i="1"/>
  <c r="AS165" i="1"/>
  <c r="AQ165" i="1"/>
  <c r="AS164" i="1"/>
  <c r="AQ164" i="1"/>
  <c r="AS163" i="1"/>
  <c r="AQ163" i="1"/>
  <c r="AS162" i="1"/>
  <c r="AQ162" i="1"/>
  <c r="AS161" i="1"/>
  <c r="AQ161" i="1"/>
  <c r="AS160" i="1"/>
  <c r="AQ160" i="1"/>
  <c r="AS159" i="1"/>
  <c r="AQ159" i="1"/>
  <c r="AS158" i="1"/>
  <c r="AQ158" i="1"/>
  <c r="AS157" i="1"/>
  <c r="AQ157" i="1"/>
  <c r="AS156" i="1"/>
  <c r="AQ156" i="1"/>
  <c r="AS155" i="1"/>
  <c r="AQ155" i="1"/>
  <c r="AS154" i="1"/>
  <c r="AQ154" i="1"/>
  <c r="AS153" i="1"/>
  <c r="AQ153" i="1"/>
  <c r="AS152" i="1"/>
  <c r="AQ152" i="1"/>
  <c r="AS151" i="1"/>
  <c r="AQ151" i="1"/>
  <c r="AS150" i="1"/>
  <c r="AQ150" i="1"/>
  <c r="AS149" i="1"/>
  <c r="AQ149" i="1"/>
  <c r="AS148" i="1"/>
  <c r="AQ148" i="1"/>
  <c r="AS147" i="1"/>
  <c r="AQ147" i="1"/>
  <c r="AS146" i="1"/>
  <c r="AQ146" i="1"/>
  <c r="AS145" i="1"/>
  <c r="AQ145" i="1"/>
  <c r="AS144" i="1"/>
  <c r="AQ144" i="1"/>
  <c r="AS143" i="1"/>
  <c r="AQ143" i="1"/>
  <c r="AS142" i="1"/>
  <c r="AQ142" i="1"/>
  <c r="AS141" i="1"/>
  <c r="AQ141" i="1"/>
  <c r="AS140" i="1"/>
  <c r="AQ140" i="1"/>
  <c r="AS139" i="1"/>
  <c r="AQ139" i="1"/>
  <c r="AS138" i="1"/>
  <c r="AQ138" i="1"/>
  <c r="AS137" i="1"/>
  <c r="AQ137" i="1"/>
  <c r="AS136" i="1"/>
  <c r="AQ136" i="1"/>
  <c r="AS135" i="1"/>
  <c r="AQ135" i="1"/>
  <c r="AS134" i="1"/>
  <c r="AQ134" i="1"/>
  <c r="AS133" i="1"/>
  <c r="AQ133" i="1"/>
  <c r="AS132" i="1"/>
  <c r="AQ132" i="1"/>
  <c r="AS131" i="1"/>
  <c r="AQ131" i="1"/>
  <c r="AS130" i="1"/>
  <c r="AQ130" i="1"/>
  <c r="AS129" i="1"/>
  <c r="AQ129" i="1"/>
  <c r="AS128" i="1"/>
  <c r="AQ128" i="1"/>
  <c r="AS127" i="1"/>
  <c r="AQ127" i="1"/>
  <c r="AS126" i="1"/>
  <c r="AQ126" i="1"/>
  <c r="AS125" i="1"/>
  <c r="AQ125" i="1"/>
  <c r="AS124" i="1"/>
  <c r="AQ124" i="1"/>
  <c r="AS123" i="1"/>
  <c r="AQ123" i="1"/>
  <c r="AS122" i="1"/>
  <c r="AQ122" i="1"/>
  <c r="AS121" i="1"/>
  <c r="AQ121" i="1"/>
  <c r="AS120" i="1"/>
  <c r="AQ120" i="1"/>
  <c r="AS119" i="1"/>
  <c r="AQ119" i="1"/>
  <c r="AS118" i="1"/>
  <c r="AQ118" i="1"/>
  <c r="AS117" i="1"/>
  <c r="AQ117" i="1"/>
  <c r="AS116" i="1"/>
  <c r="AQ116" i="1"/>
  <c r="AS115" i="1"/>
  <c r="AQ115" i="1"/>
  <c r="AS114" i="1"/>
  <c r="AQ114" i="1"/>
  <c r="AS113" i="1"/>
  <c r="AQ113" i="1"/>
  <c r="AS112" i="1"/>
  <c r="AQ112" i="1"/>
  <c r="AS111" i="1"/>
  <c r="AQ111" i="1"/>
  <c r="AS110" i="1"/>
  <c r="AQ110" i="1"/>
  <c r="AS109" i="1"/>
  <c r="AQ109" i="1"/>
  <c r="AS108" i="1"/>
  <c r="AQ108" i="1"/>
  <c r="AS107" i="1"/>
  <c r="AQ107" i="1"/>
  <c r="AS106" i="1"/>
  <c r="AQ106" i="1"/>
  <c r="AS105" i="1"/>
  <c r="AQ105" i="1"/>
  <c r="AS104" i="1"/>
  <c r="AQ104" i="1"/>
  <c r="AS103" i="1"/>
  <c r="AQ103" i="1"/>
  <c r="AS102" i="1"/>
  <c r="AQ102" i="1"/>
  <c r="AS101" i="1"/>
  <c r="AQ101" i="1"/>
  <c r="AS100" i="1"/>
  <c r="AQ100" i="1"/>
  <c r="AS99" i="1"/>
  <c r="AQ99" i="1"/>
  <c r="AS98" i="1"/>
  <c r="AQ98" i="1"/>
  <c r="AS97" i="1"/>
  <c r="AQ97" i="1"/>
  <c r="AS96" i="1"/>
  <c r="AQ96" i="1"/>
  <c r="AS95" i="1"/>
  <c r="AQ95" i="1"/>
  <c r="AS94" i="1"/>
  <c r="AQ94" i="1"/>
  <c r="AS93" i="1"/>
  <c r="AQ93" i="1"/>
  <c r="AS92" i="1"/>
  <c r="AQ92" i="1"/>
  <c r="AS91" i="1"/>
  <c r="AQ91" i="1"/>
  <c r="AS90" i="1"/>
  <c r="AQ90" i="1"/>
  <c r="AS89" i="1"/>
  <c r="AQ89" i="1"/>
  <c r="AS88" i="1"/>
  <c r="AQ88" i="1"/>
  <c r="AS87" i="1"/>
  <c r="AQ87" i="1"/>
  <c r="AS86" i="1"/>
  <c r="AQ86" i="1"/>
  <c r="AS85" i="1"/>
  <c r="AQ85" i="1"/>
  <c r="AS84" i="1"/>
  <c r="AQ84" i="1"/>
  <c r="AS83" i="1"/>
  <c r="AQ83" i="1"/>
  <c r="AS82" i="1"/>
  <c r="AQ82" i="1"/>
  <c r="AS81" i="1"/>
  <c r="AQ81" i="1"/>
  <c r="AS80" i="1"/>
  <c r="AQ80" i="1"/>
  <c r="AS79" i="1"/>
  <c r="AQ79" i="1"/>
  <c r="AS78" i="1"/>
  <c r="AQ78" i="1"/>
  <c r="AS77" i="1"/>
  <c r="AQ77" i="1"/>
  <c r="AS76" i="1"/>
  <c r="AQ76" i="1"/>
  <c r="AS75" i="1"/>
  <c r="AQ75" i="1"/>
  <c r="AS74" i="1"/>
  <c r="AQ74" i="1"/>
  <c r="AS73" i="1"/>
  <c r="AQ73" i="1"/>
  <c r="AS72" i="1"/>
  <c r="AQ72" i="1"/>
  <c r="AS71" i="1"/>
  <c r="AQ71" i="1"/>
  <c r="AS70" i="1"/>
  <c r="AQ70" i="1"/>
  <c r="AS69" i="1"/>
  <c r="AQ69" i="1"/>
  <c r="AS68" i="1"/>
  <c r="AQ68" i="1"/>
  <c r="AS67" i="1"/>
  <c r="AQ67" i="1"/>
  <c r="AS66" i="1"/>
  <c r="AQ66" i="1"/>
  <c r="AS65" i="1"/>
  <c r="AQ65" i="1"/>
  <c r="AS64" i="1"/>
  <c r="AQ64" i="1"/>
  <c r="AS63" i="1"/>
  <c r="AQ63" i="1"/>
  <c r="AS62" i="1"/>
  <c r="AQ62" i="1"/>
  <c r="AS61" i="1"/>
  <c r="AQ61" i="1"/>
  <c r="AS60" i="1"/>
  <c r="AQ60" i="1"/>
  <c r="AS59" i="1"/>
  <c r="AQ59" i="1"/>
  <c r="AS58" i="1"/>
  <c r="AQ58" i="1"/>
  <c r="AS57" i="1"/>
  <c r="AQ57" i="1"/>
  <c r="AS56" i="1"/>
  <c r="AQ56" i="1"/>
  <c r="AS55" i="1"/>
  <c r="AQ55" i="1"/>
  <c r="AS54" i="1"/>
  <c r="AQ54" i="1"/>
  <c r="AS53" i="1"/>
  <c r="AQ53" i="1"/>
  <c r="AS52" i="1"/>
  <c r="AQ52" i="1"/>
  <c r="AS51" i="1"/>
  <c r="AQ51" i="1"/>
  <c r="AS50" i="1"/>
  <c r="AQ50" i="1"/>
  <c r="AS49" i="1"/>
  <c r="AQ49" i="1"/>
  <c r="AS48" i="1"/>
  <c r="AQ48" i="1"/>
  <c r="AS47" i="1"/>
  <c r="AQ47" i="1"/>
  <c r="AS46" i="1"/>
  <c r="AQ46" i="1"/>
  <c r="AS45" i="1"/>
  <c r="AQ45" i="1"/>
  <c r="AS44" i="1"/>
  <c r="AQ44" i="1"/>
  <c r="AS43" i="1"/>
  <c r="AQ43" i="1"/>
  <c r="AS42" i="1"/>
  <c r="AQ42" i="1"/>
  <c r="AS41" i="1"/>
  <c r="AQ41" i="1"/>
  <c r="AS40" i="1"/>
  <c r="AQ40" i="1"/>
  <c r="AS39" i="1"/>
  <c r="AQ39" i="1"/>
  <c r="AS38" i="1"/>
  <c r="AQ38" i="1"/>
  <c r="AS37" i="1"/>
  <c r="AQ37" i="1"/>
  <c r="AS36" i="1"/>
  <c r="AQ36" i="1"/>
  <c r="AS35" i="1"/>
  <c r="AQ35" i="1"/>
  <c r="AS34" i="1"/>
  <c r="AQ34" i="1"/>
  <c r="AS33" i="1"/>
  <c r="AQ33" i="1"/>
  <c r="AS32" i="1"/>
  <c r="AQ32" i="1"/>
  <c r="AS31" i="1"/>
  <c r="AQ31" i="1"/>
  <c r="AS30" i="1"/>
  <c r="AQ30" i="1"/>
  <c r="AS29" i="1"/>
  <c r="AQ29" i="1"/>
  <c r="AS28" i="1"/>
  <c r="AQ28" i="1"/>
  <c r="AS27" i="1"/>
  <c r="AQ27" i="1"/>
  <c r="AS26" i="1"/>
  <c r="AQ26" i="1"/>
  <c r="AS25" i="1"/>
  <c r="AQ25" i="1"/>
  <c r="AS24" i="1"/>
  <c r="AQ24" i="1"/>
  <c r="AS23" i="1"/>
  <c r="AQ23" i="1"/>
  <c r="AS22" i="1"/>
  <c r="AQ22" i="1"/>
  <c r="AS21" i="1"/>
  <c r="AQ21" i="1"/>
  <c r="D16" i="1" l="1"/>
  <c r="E16" i="1"/>
  <c r="D17" i="1"/>
  <c r="E17" i="1"/>
  <c r="G17" i="1"/>
  <c r="AQ20" i="1"/>
  <c r="AS20" i="1"/>
  <c r="Q5" i="1"/>
  <c r="Q4" i="1"/>
  <c r="B5" i="1"/>
  <c r="Y4" i="1"/>
  <c r="U4" i="1"/>
</calcChain>
</file>

<file path=xl/comments1.xml><?xml version="1.0" encoding="utf-8"?>
<comments xmlns="http://schemas.openxmlformats.org/spreadsheetml/2006/main">
  <authors>
    <author>igort</author>
    <author>Interject</author>
    <author>Heather Garland</author>
    <author>Akasha Leffler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(1-10000),
&gt;10000 admins only, default: 10000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2" authorId="1" shapeId="0">
      <text>
        <r>
          <rPr>
            <b/>
            <sz val="9"/>
            <color indexed="81"/>
            <rFont val="Tahoma"/>
            <family val="2"/>
          </rPr>
          <t>If Distict is blank, selects all districts. Can use F9 Groupings.</t>
        </r>
      </text>
    </comment>
    <comment ref="O12" authorId="1" shapeId="0">
      <text>
        <r>
          <rPr>
            <b/>
            <sz val="9"/>
            <color indexed="81"/>
            <rFont val="Tahoma"/>
            <family val="2"/>
          </rPr>
          <t>Leave blank to search all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>If blank: If both dates are blankdefaults to current month</t>
        </r>
      </text>
    </comment>
    <comment ref="L13" authorId="1" shapeId="0">
      <text>
        <r>
          <rPr>
            <b/>
            <sz val="9"/>
            <color indexed="81"/>
            <rFont val="Tahoma"/>
            <family val="2"/>
          </rPr>
          <t>If Accounts is blank, selects all accounts. Can use F9 Groupings.</t>
        </r>
      </text>
    </comment>
    <comment ref="O13" authorId="1" shapeId="0">
      <text>
        <r>
          <rPr>
            <b/>
            <sz val="9"/>
            <color indexed="81"/>
            <rFont val="Tahoma"/>
            <family val="2"/>
          </rPr>
          <t>Will search absolute values.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If System is blank, selects all systems. Can use F9 Groupings.</t>
        </r>
      </text>
    </comment>
    <comment ref="O14" authorId="1" shapeId="0">
      <text>
        <r>
          <rPr>
            <b/>
            <sz val="9"/>
            <color indexed="81"/>
            <rFont val="Tahoma"/>
            <family val="2"/>
          </rPr>
          <t>Will search absolute values</t>
        </r>
      </text>
    </comment>
    <comment ref="L15" authorId="1" shapeId="0">
      <text>
        <r>
          <rPr>
            <b/>
            <sz val="9"/>
            <color indexed="81"/>
            <rFont val="Tahoma"/>
            <family val="2"/>
          </rPr>
          <t>If Subsystem is blank, selects all subsystems. Can use F9 Groupings.</t>
        </r>
      </text>
    </comment>
    <comment ref="E850" authorId="2" shapeId="0">
      <text>
        <r>
          <rPr>
            <b/>
            <sz val="9"/>
            <color indexed="81"/>
            <rFont val="Tahoma"/>
            <charset val="1"/>
          </rPr>
          <t>Heather Garland:</t>
        </r>
        <r>
          <rPr>
            <sz val="9"/>
            <color indexed="81"/>
            <rFont val="Tahoma"/>
            <charset val="1"/>
          </rPr>
          <t xml:space="preserve">
From TG-180955</t>
        </r>
      </text>
    </comment>
    <comment ref="E866" authorId="3" shapeId="0">
      <text>
        <r>
          <rPr>
            <b/>
            <sz val="9"/>
            <color indexed="81"/>
            <rFont val="Tahoma"/>
            <family val="2"/>
          </rPr>
          <t>Akasha Leffler:</t>
        </r>
        <r>
          <rPr>
            <sz val="9"/>
            <color indexed="81"/>
            <rFont val="Tahoma"/>
            <family val="2"/>
          </rPr>
          <t xml:space="preserve">
Excludes duplicates (EX. Resi customers who have MSW, recycle, and yard waste = 1 customer)</t>
        </r>
      </text>
    </comment>
  </commentList>
</comments>
</file>

<file path=xl/comments2.xml><?xml version="1.0" encoding="utf-8"?>
<comments xmlns="http://schemas.openxmlformats.org/spreadsheetml/2006/main">
  <authors>
    <author>Heather Garland</author>
    <author>Kady Whittaker</author>
    <author>Lindsay Waldram</author>
  </authors>
  <commentList>
    <comment ref="BF3" authorId="0" shapeId="0">
      <text>
        <r>
          <rPr>
            <b/>
            <sz val="9"/>
            <color indexed="81"/>
            <rFont val="Tahoma"/>
            <family val="2"/>
          </rPr>
          <t>Heather Garland:</t>
        </r>
        <r>
          <rPr>
            <sz val="9"/>
            <color indexed="81"/>
            <rFont val="Tahoma"/>
            <family val="2"/>
          </rPr>
          <t xml:space="preserve">
Grossed up for B&amp;O tax and WUTC Fee.
</t>
        </r>
      </text>
    </comment>
    <comment ref="E5" authorId="1" shapeId="0">
      <text>
        <r>
          <rPr>
            <b/>
            <sz val="9"/>
            <color indexed="81"/>
            <rFont val="Tahoma"/>
            <family val="2"/>
          </rPr>
          <t>Kady Whittaker:</t>
        </r>
        <r>
          <rPr>
            <sz val="9"/>
            <color indexed="81"/>
            <rFont val="Tahoma"/>
            <family val="2"/>
          </rPr>
          <t xml:space="preserve">
Need new pricing to update</t>
        </r>
      </text>
    </comment>
    <comment ref="D59" authorId="2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Tariff</t>
        </r>
      </text>
    </comment>
    <comment ref="E59" authorId="2" shapeId="0">
      <text>
        <r>
          <rPr>
            <b/>
            <sz val="9"/>
            <color indexed="81"/>
            <rFont val="Tahoma"/>
            <family val="2"/>
          </rPr>
          <t>Lindsay Waldram:</t>
        </r>
        <r>
          <rPr>
            <sz val="9"/>
            <color indexed="81"/>
            <rFont val="Tahoma"/>
            <family val="2"/>
          </rPr>
          <t xml:space="preserve">
Per Tariff</t>
        </r>
      </text>
    </comment>
  </commentList>
</comments>
</file>

<file path=xl/comments3.xml><?xml version="1.0" encoding="utf-8"?>
<comments xmlns="http://schemas.openxmlformats.org/spreadsheetml/2006/main">
  <authors>
    <author>Chelsea Paschke</author>
  </authors>
  <commentList>
    <comment ref="B278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This rate is currently stated per pick-up. In order to be consisent with monthly residential billing, we have changed this to a per-month rate.  We also increased the initial rate to $5.00 to reflect monthly.  The rate is still less than chargnine 3.63*4.33.</t>
        </r>
      </text>
    </comment>
  </commentList>
</comments>
</file>

<file path=xl/comments4.xml><?xml version="1.0" encoding="utf-8"?>
<comments xmlns="http://schemas.openxmlformats.org/spreadsheetml/2006/main">
  <authors>
    <author>Chelsea Paschke</author>
  </authors>
  <commentList>
    <comment ref="D31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O31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Y31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O33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Y33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O37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  <comment ref="Y37" authorId="0" shapeId="0">
      <text>
        <r>
          <rPr>
            <b/>
            <sz val="9"/>
            <color indexed="81"/>
            <rFont val="Tahoma"/>
            <family val="2"/>
          </rPr>
          <t>Chelsea Paschke:</t>
        </r>
        <r>
          <rPr>
            <sz val="9"/>
            <color indexed="81"/>
            <rFont val="Tahoma"/>
            <family val="2"/>
          </rPr>
          <t xml:space="preserve">
included in Murrey's </t>
        </r>
      </text>
    </comment>
  </commentList>
</comments>
</file>

<file path=xl/comments5.xml><?xml version="1.0" encoding="utf-8"?>
<comments xmlns="http://schemas.openxmlformats.org/spreadsheetml/2006/main">
  <authors>
    <author>Eduardo Tedtaotao</author>
  </authors>
  <commentList>
    <comment ref="O4" authorId="0" shapeId="0">
      <text>
        <r>
          <rPr>
            <b/>
            <sz val="9"/>
            <color indexed="81"/>
            <rFont val="Tahoma"/>
            <family val="2"/>
          </rPr>
          <t>Eduardo Tedtaotao:</t>
        </r>
        <r>
          <rPr>
            <sz val="9"/>
            <color indexed="81"/>
            <rFont val="Tahoma"/>
            <family val="2"/>
          </rPr>
          <t xml:space="preserve">
UTC as of Oct-17</t>
        </r>
      </text>
    </comment>
  </commentList>
</comments>
</file>

<file path=xl/sharedStrings.xml><?xml version="1.0" encoding="utf-8"?>
<sst xmlns="http://schemas.openxmlformats.org/spreadsheetml/2006/main" count="7908" uniqueCount="1628">
  <si>
    <t>Journal Entry Query Tool</t>
  </si>
  <si>
    <t>Databases</t>
  </si>
  <si>
    <t>Date Range:</t>
  </si>
  <si>
    <t>Other Criteria</t>
  </si>
  <si>
    <t>wci_ca</t>
  </si>
  <si>
    <t>From:</t>
  </si>
  <si>
    <t>Districts:</t>
  </si>
  <si>
    <t>wci_corp</t>
  </si>
  <si>
    <t>To:</t>
  </si>
  <si>
    <t>wci_wa</t>
  </si>
  <si>
    <t>wci_eastern</t>
  </si>
  <si>
    <t>Accts:</t>
  </si>
  <si>
    <t>wci_id</t>
  </si>
  <si>
    <t>System:</t>
  </si>
  <si>
    <t>Subsystem:</t>
  </si>
  <si>
    <t>wci_southern</t>
  </si>
  <si>
    <t>Total of Entries:</t>
  </si>
  <si>
    <t>Not included in print range</t>
  </si>
  <si>
    <t>Date</t>
  </si>
  <si>
    <t>journal_description</t>
  </si>
  <si>
    <t>User</t>
  </si>
  <si>
    <t>vendor_code</t>
  </si>
  <si>
    <t>Further Description</t>
  </si>
  <si>
    <t>date_doc</t>
  </si>
  <si>
    <t>doc_desc</t>
  </si>
  <si>
    <t>doc_ctrl_num</t>
  </si>
  <si>
    <t>po_ctrl_num</t>
  </si>
  <si>
    <t>vend_order_num</t>
  </si>
  <si>
    <t>ticket_num</t>
  </si>
  <si>
    <t>document_2</t>
  </si>
  <si>
    <t>document_1</t>
  </si>
  <si>
    <t>class_code</t>
  </si>
  <si>
    <t>amt_net</t>
  </si>
  <si>
    <t>End of List</t>
  </si>
  <si>
    <t>Num of Entries Shown:</t>
  </si>
  <si>
    <t>wci_lri2</t>
  </si>
  <si>
    <t>wci_lri</t>
  </si>
  <si>
    <t>ALL</t>
  </si>
  <si>
    <t>posted_flag</t>
  </si>
  <si>
    <t>hold_flag</t>
  </si>
  <si>
    <t>date_due</t>
  </si>
  <si>
    <t>recurring_flag</t>
  </si>
  <si>
    <t>repeating_flag</t>
  </si>
  <si>
    <t>reversing_flag</t>
  </si>
  <si>
    <t>type_flag</t>
  </si>
  <si>
    <t>R/Type</t>
  </si>
  <si>
    <t>Macros are currently disabled in Excel</t>
  </si>
  <si>
    <t>It is likely that Citrix has reset the Macro Security Level to High.</t>
  </si>
  <si>
    <t>The security level needs to be set to Medium or Low for</t>
  </si>
  <si>
    <t>the Excel Financials Reporting system to work.</t>
  </si>
  <si>
    <t>To change this setting, follow the instructions below:</t>
  </si>
  <si>
    <t>Go to the 'Tools/Macro/Security…' menu option.  (On the above menu bar.)</t>
  </si>
  <si>
    <t>The 'Security' window will pop-up.  Choose the 'Low' or 'Medium' setting.</t>
  </si>
  <si>
    <t>Click OK.</t>
  </si>
  <si>
    <t>Exit Excel and re-start the Excel Financials program.</t>
  </si>
  <si>
    <t>(If the computer ask you to save changes to Excel Financials, choose No.)</t>
  </si>
  <si>
    <t>Amount From:</t>
  </si>
  <si>
    <t>Amount To:</t>
  </si>
  <si>
    <t>Vendor Code:</t>
  </si>
  <si>
    <t>Posting:</t>
  </si>
  <si>
    <t>FullAcct</t>
  </si>
  <si>
    <t>date_applied</t>
  </si>
  <si>
    <t>Journal</t>
  </si>
  <si>
    <t>pstd</t>
  </si>
  <si>
    <t>Description</t>
  </si>
  <si>
    <t>OneTime</t>
  </si>
  <si>
    <t>DBase</t>
  </si>
  <si>
    <t>seg1_code</t>
  </si>
  <si>
    <t>seg2_code</t>
  </si>
  <si>
    <t>seg3_code</t>
  </si>
  <si>
    <t>seg4_code</t>
  </si>
  <si>
    <t>TypeCode</t>
  </si>
  <si>
    <t>Seg1</t>
  </si>
  <si>
    <t>Seg2</t>
  </si>
  <si>
    <t>Seg3</t>
  </si>
  <si>
    <t>Seg4</t>
  </si>
  <si>
    <t/>
  </si>
  <si>
    <t>date_entered</t>
  </si>
  <si>
    <t>date_posted</t>
  </si>
  <si>
    <t>staged_refCode</t>
  </si>
  <si>
    <t>Staged_RefCode</t>
  </si>
  <si>
    <t>Staged_DocRef</t>
  </si>
  <si>
    <t>Entries Shown Limit Setup:</t>
  </si>
  <si>
    <t>*pstd: P = Posted, U = Unposted, S = Staged, C:0 = I/C Unposted, -1 = Hanging out there.</t>
  </si>
  <si>
    <t>Formulas</t>
  </si>
  <si>
    <t>Other</t>
  </si>
  <si>
    <t>Staged Year Month</t>
  </si>
  <si>
    <t>NOTE: Ctrl+Shift+J to pull data</t>
  </si>
  <si>
    <t>Staged_District</t>
  </si>
  <si>
    <t>Staged_YearMonth</t>
  </si>
  <si>
    <t>Staged District</t>
  </si>
  <si>
    <t>VO Number</t>
  </si>
  <si>
    <t>All</t>
  </si>
  <si>
    <t>wci_canada</t>
  </si>
  <si>
    <t>wci_can_corp</t>
  </si>
  <si>
    <t>Full Account</t>
  </si>
  <si>
    <t>Journal Control Num</t>
  </si>
  <si>
    <t>Psted*</t>
  </si>
  <si>
    <t>Journal Description</t>
  </si>
  <si>
    <t>Vendor Code</t>
  </si>
  <si>
    <t>One Time Vendor</t>
  </si>
  <si>
    <t>Date Doc</t>
  </si>
  <si>
    <t>Doc Desc</t>
  </si>
  <si>
    <t>Doc Ctrl Num</t>
  </si>
  <si>
    <t>Po Ctrl Num</t>
  </si>
  <si>
    <t>Vendor Order Num</t>
  </si>
  <si>
    <t>Ticket Num</t>
  </si>
  <si>
    <t>Document 2</t>
  </si>
  <si>
    <t>Document 1</t>
  </si>
  <si>
    <t>Class Code</t>
  </si>
  <si>
    <t>Date Entered</t>
  </si>
  <si>
    <t>Date Posted</t>
  </si>
  <si>
    <t>Amt Net</t>
  </si>
  <si>
    <t>Date Due</t>
  </si>
  <si>
    <t>Database</t>
  </si>
  <si>
    <t>Reversing Flag</t>
  </si>
  <si>
    <t>Hold Flag</t>
  </si>
  <si>
    <t>Recurring Flag</t>
  </si>
  <si>
    <t>Repeating Flag</t>
  </si>
  <si>
    <t>Type Flag</t>
  </si>
  <si>
    <t>Posted Flag</t>
  </si>
  <si>
    <t>balance_usd</t>
  </si>
  <si>
    <t>balance_cad</t>
  </si>
  <si>
    <t>Amount USD</t>
  </si>
  <si>
    <t>Amount CAD</t>
  </si>
  <si>
    <t>*records limit:</t>
  </si>
  <si>
    <t>Nat Currency</t>
  </si>
  <si>
    <t>currencycode</t>
  </si>
  <si>
    <t>v.4.6</t>
  </si>
  <si>
    <t>2020-03</t>
  </si>
  <si>
    <t>19</t>
  </si>
  <si>
    <t>2111</t>
  </si>
  <si>
    <t>2021-02</t>
  </si>
  <si>
    <t>50065-2111-000-19</t>
  </si>
  <si>
    <t>USD</t>
  </si>
  <si>
    <t>JRNLWA00406579</t>
  </si>
  <si>
    <t>P</t>
  </si>
  <si>
    <t>B2 3/18/20 - 3/31/20</t>
  </si>
  <si>
    <t>LaurenTi</t>
  </si>
  <si>
    <t>0/JE IC</t>
  </si>
  <si>
    <t>B2:2020-07:ER Wages</t>
  </si>
  <si>
    <t>JRNL00968154</t>
  </si>
  <si>
    <t>70165-2111-000-19</t>
  </si>
  <si>
    <t>B2:2020-07:Expense Reimbursement</t>
  </si>
  <si>
    <t>JRNLWA00406591</t>
  </si>
  <si>
    <t>2020-03 B2 Hourly In progress</t>
  </si>
  <si>
    <t>B2:2020-8:ER Wages</t>
  </si>
  <si>
    <t>JRNL00968177</t>
  </si>
  <si>
    <t>52125-2111-000-19</t>
  </si>
  <si>
    <t>JRNLWA00406648</t>
  </si>
  <si>
    <t>Pcard Activity - March</t>
  </si>
  <si>
    <t>HeatherWe</t>
  </si>
  <si>
    <t>HERBSPRO~DONALD KENNEY</t>
  </si>
  <si>
    <t>JRNL00968345</t>
  </si>
  <si>
    <t>70185-2111-000-19</t>
  </si>
  <si>
    <t>UPS 1Z200YY80399640776~TRAVIS ROBERTSON</t>
  </si>
  <si>
    <t>50036-2111-000-19</t>
  </si>
  <si>
    <t>JRNLWA00407351</t>
  </si>
  <si>
    <t>2020-03 - Covid19 Bonus Accrua</t>
  </si>
  <si>
    <t>2020-03 - Covid19 Bonus Accrual</t>
  </si>
  <si>
    <t>JRNL00969847</t>
  </si>
  <si>
    <t>50050-2111-000-19</t>
  </si>
  <si>
    <t>52036-2111-000-19</t>
  </si>
  <si>
    <t>52050-2111-000-19</t>
  </si>
  <si>
    <t>55036-2111-000-19</t>
  </si>
  <si>
    <t>55050-2111-000-19</t>
  </si>
  <si>
    <t>56036-2111-000-19</t>
  </si>
  <si>
    <t>56050-2111-000-19</t>
  </si>
  <si>
    <t>70036-2111-000-19</t>
  </si>
  <si>
    <t>70050-2111-000-19</t>
  </si>
  <si>
    <t>50086-2111-000-19</t>
  </si>
  <si>
    <t>JRNLWA00407647</t>
  </si>
  <si>
    <t>2020-03 Pcard Accrual</t>
  </si>
  <si>
    <t>HeatherH</t>
  </si>
  <si>
    <t>AMZN MKTP US DD8673BM3~LYNSIE BRESSLER</t>
  </si>
  <si>
    <t>JRNL00970285</t>
  </si>
  <si>
    <t>JRNLWA00407659</t>
  </si>
  <si>
    <t>2020-03 Expense Recalss</t>
  </si>
  <si>
    <t>COVID-19 Sanitizer/gloves</t>
  </si>
  <si>
    <t>JRNL00970297</t>
  </si>
  <si>
    <t>70210-2111-000-19</t>
  </si>
  <si>
    <t>COVID-19 Hand Sanitizer</t>
  </si>
  <si>
    <t>JRNLWA00406605</t>
  </si>
  <si>
    <t>JRNL00968200</t>
  </si>
  <si>
    <t>JRNLWA00407426</t>
  </si>
  <si>
    <t>JRNL00969914</t>
  </si>
  <si>
    <t>JRNLWA00407746</t>
  </si>
  <si>
    <t>JRNL00970406</t>
  </si>
  <si>
    <t>JRNLWA00407951</t>
  </si>
  <si>
    <t>B2 4/1/20-4/14/20</t>
  </si>
  <si>
    <t>JacobMas</t>
  </si>
  <si>
    <t>B2:2020-08:CV19 Bonus</t>
  </si>
  <si>
    <t>JRNL00971035</t>
  </si>
  <si>
    <t>50036-2111-100-19</t>
  </si>
  <si>
    <t>50036-2111-200-19</t>
  </si>
  <si>
    <t>50036-2111-201-19</t>
  </si>
  <si>
    <t>50036-2111-210-19</t>
  </si>
  <si>
    <t>50036-2111-300-19</t>
  </si>
  <si>
    <t>50036-2111-500-19</t>
  </si>
  <si>
    <t>B2:2020-08:ER Wages</t>
  </si>
  <si>
    <t>52065-2111-000-19</t>
  </si>
  <si>
    <t>56036-2111-700-19</t>
  </si>
  <si>
    <t>50020-2111-000-19</t>
  </si>
  <si>
    <t>JRNLWA00408128</t>
  </si>
  <si>
    <t>Recode ER wages to Labor</t>
  </si>
  <si>
    <t>HelenaK</t>
  </si>
  <si>
    <t>JRNL00971590</t>
  </si>
  <si>
    <t>52020-2111-000-19</t>
  </si>
  <si>
    <t>JRNLWA00408225</t>
  </si>
  <si>
    <t>B2  4/15/20-4/30/20</t>
  </si>
  <si>
    <t>B2:2020-09:ER Wages</t>
  </si>
  <si>
    <t>JRNL00971797</t>
  </si>
  <si>
    <t>B2:2020-09:CV19 Bonus</t>
  </si>
  <si>
    <t>JRNLWA00408249</t>
  </si>
  <si>
    <t>Pcard Activity - April</t>
  </si>
  <si>
    <t>JRNL00971955</t>
  </si>
  <si>
    <t>IN  ONE SLEEP COMPANY - S~MARIA FINLEY</t>
  </si>
  <si>
    <t>BARGREEN ELLINGSON #16~DONALD KENNEY</t>
  </si>
  <si>
    <t>57125-2111-000-19</t>
  </si>
  <si>
    <t>JRNLWA00408416</t>
  </si>
  <si>
    <t>Workday Expense Report Apr-20</t>
  </si>
  <si>
    <t>Adam Balogh -PPE for Sites - Covid19</t>
  </si>
  <si>
    <t>JRNL00972414</t>
  </si>
  <si>
    <t>JRNLWA00408899</t>
  </si>
  <si>
    <t>2020-04 - Covid19 Bonus Accrua</t>
  </si>
  <si>
    <t>2020-04 - Covid19 Bonus Accrual</t>
  </si>
  <si>
    <t>JRNL00973346</t>
  </si>
  <si>
    <t>JRNLWA00408901</t>
  </si>
  <si>
    <t>2020-04 Reclass Covid</t>
  </si>
  <si>
    <t>JRNL00973348</t>
  </si>
  <si>
    <t>JRNLWA00408980</t>
  </si>
  <si>
    <t>2020-04 Expense Recalss</t>
  </si>
  <si>
    <t>COVID-19 Driver Sanitizer</t>
  </si>
  <si>
    <t>JRNL00973533</t>
  </si>
  <si>
    <t>52086-2111-000-19</t>
  </si>
  <si>
    <t>52165-2111-000-19</t>
  </si>
  <si>
    <t>JRNLWA00409430</t>
  </si>
  <si>
    <t>From Voucher Posting.</t>
  </si>
  <si>
    <t>asnell</t>
  </si>
  <si>
    <t>VUS000015262</t>
  </si>
  <si>
    <t>WHISLER COMMUNICATIONS</t>
  </si>
  <si>
    <t>TRUCK RADIO SYSTEMS</t>
  </si>
  <si>
    <t>2111-20-0028</t>
  </si>
  <si>
    <t>VO05415519</t>
  </si>
  <si>
    <t>JRNL00974440</t>
  </si>
  <si>
    <t>JRNLWA00408956</t>
  </si>
  <si>
    <t>JRNL00973479</t>
  </si>
  <si>
    <t>JRNLWA00409339</t>
  </si>
  <si>
    <t>B2  5/1/20-5/13/20</t>
  </si>
  <si>
    <t>B2:2020-10:ER Wages</t>
  </si>
  <si>
    <t>JRNL00974211</t>
  </si>
  <si>
    <t>JRNLWA00409460</t>
  </si>
  <si>
    <t>Rclss Exp Reimb May</t>
  </si>
  <si>
    <t>B2:2020-10:Expense Reimbursement</t>
  </si>
  <si>
    <t>JRNL00974512</t>
  </si>
  <si>
    <t>JRNLWA00409734</t>
  </si>
  <si>
    <t>Reclass CV19 Bonus</t>
  </si>
  <si>
    <t>B2:2020-10:CV19 Bonus</t>
  </si>
  <si>
    <t>JRNL00975317</t>
  </si>
  <si>
    <t>JRNLWA00410049</t>
  </si>
  <si>
    <t>B2  5/14/20-5/31/20</t>
  </si>
  <si>
    <t>B2:2020-12:ER Wages</t>
  </si>
  <si>
    <t>JRNL00975764</t>
  </si>
  <si>
    <t>B2:2020-11:CV19 Bonus</t>
  </si>
  <si>
    <t>B2:2020-12:CV19 Bonus</t>
  </si>
  <si>
    <t>B2:2020-11:Expense Reimbursement</t>
  </si>
  <si>
    <t>B2:2020-12:Expense Reimbursement</t>
  </si>
  <si>
    <t>JRNLWA00410164</t>
  </si>
  <si>
    <t>REVERSE B2  5/1/20-5/13/20</t>
  </si>
  <si>
    <t>JRNL00975967</t>
  </si>
  <si>
    <t>JRNLWA00410166</t>
  </si>
  <si>
    <t>REVERSE Rclss Exp Reimb May</t>
  </si>
  <si>
    <t>JRNL00975969</t>
  </si>
  <si>
    <t>JRNLWA00410176</t>
  </si>
  <si>
    <t>Correct B2  5/1/20-5/12/20</t>
  </si>
  <si>
    <t>JRNL00975984</t>
  </si>
  <si>
    <t>JRNLWA00410183</t>
  </si>
  <si>
    <t>REVERSE B2  5/14/20-5/31/20</t>
  </si>
  <si>
    <t>JRNL00975997</t>
  </si>
  <si>
    <t>JRNLWA00410187</t>
  </si>
  <si>
    <t>Correct B2  5/13/20-6/2/20</t>
  </si>
  <si>
    <t>JRNL00976001</t>
  </si>
  <si>
    <t>JRNLWA00410479</t>
  </si>
  <si>
    <t>2020-05 Pcard Accrual</t>
  </si>
  <si>
    <t>AMZN MKTP US M785P5QB2~LYNSIE BRESSLER</t>
  </si>
  <si>
    <t>JRNL00976613</t>
  </si>
  <si>
    <t>JRNLWA00410489</t>
  </si>
  <si>
    <t>2020-05 Expense Recalss</t>
  </si>
  <si>
    <t>Gaiters</t>
  </si>
  <si>
    <t>JRNL00976623</t>
  </si>
  <si>
    <t>Hand sanitizer mixing buckets, 1320</t>
  </si>
  <si>
    <t>COVID-19 Parts Stocks</t>
  </si>
  <si>
    <t>57147-2111-000-19</t>
  </si>
  <si>
    <t>Door signs, Order# 37560202</t>
  </si>
  <si>
    <t>DOOR STOPS, Inv# 9534139556</t>
  </si>
  <si>
    <t>DOOR FOOT OPENERS</t>
  </si>
  <si>
    <t>Materials for traffic control in bldg, I</t>
  </si>
  <si>
    <t>wireless warehouse buzzers for the weld</t>
  </si>
  <si>
    <t>Safety Mirrors, Order# 36859433</t>
  </si>
  <si>
    <t>JRNLWA00410494</t>
  </si>
  <si>
    <t>2020-05 Reclass Internet Reimb</t>
  </si>
  <si>
    <t>2020-05 Reclass Internet Reimb.</t>
  </si>
  <si>
    <t>JRNL00976630</t>
  </si>
  <si>
    <t>JRNLWA00410495</t>
  </si>
  <si>
    <t>2020-05 - Covid19 Bonus Accrua</t>
  </si>
  <si>
    <t>2020-05 - Covid19 Bonus Accrual</t>
  </si>
  <si>
    <t>JRNL00976631</t>
  </si>
  <si>
    <t>JRNLWA00410675</t>
  </si>
  <si>
    <t>2020-05 - Reverse Covid19 Bonu</t>
  </si>
  <si>
    <t>2020-05 - Reverse Covid19 Bonus Accrual</t>
  </si>
  <si>
    <t>JRNL00977080</t>
  </si>
  <si>
    <t>JRNLWA00410558</t>
  </si>
  <si>
    <t>JRNL00976737</t>
  </si>
  <si>
    <t>JRNLWA00410564</t>
  </si>
  <si>
    <t>JRNL00976743</t>
  </si>
  <si>
    <t>JRNLWA00410684</t>
  </si>
  <si>
    <t>JRNL00977098</t>
  </si>
  <si>
    <t>JRNLWA00411019</t>
  </si>
  <si>
    <t>B2  6/3/20-6-16/20</t>
  </si>
  <si>
    <t>B2:2020-13:ER Wages</t>
  </si>
  <si>
    <t>JRNL00978116</t>
  </si>
  <si>
    <t>B2:2020-13:CV19 Bonus</t>
  </si>
  <si>
    <t>B2:2020-13:Expense Reimbursement</t>
  </si>
  <si>
    <t>JRNLWA00411055</t>
  </si>
  <si>
    <t>B2  6/24/20 to 6/30/20</t>
  </si>
  <si>
    <t>B2:2020-14:ER Wages</t>
  </si>
  <si>
    <t>JRNL00978239</t>
  </si>
  <si>
    <t>B2:2020-14:Expense Reimbursement</t>
  </si>
  <si>
    <t>JRNLWA00411091</t>
  </si>
  <si>
    <t>Pcard Activity - June</t>
  </si>
  <si>
    <t>JRNL00978378</t>
  </si>
  <si>
    <t>AMZN MKTP US MY6CG5XT0 AM~LYNSIE BRESSLE</t>
  </si>
  <si>
    <t>AMZN MKTP US MY1GS4XK0 AM~LYNSIE BRESSLE</t>
  </si>
  <si>
    <t>COLE GRAPHIC SOLUTIONS~DONALD KENNEY</t>
  </si>
  <si>
    <t>JRNLWA00412101</t>
  </si>
  <si>
    <t>2020-06 Expense Recalss</t>
  </si>
  <si>
    <t>COVID-19 Supplies</t>
  </si>
  <si>
    <t>JRNL00980106</t>
  </si>
  <si>
    <t>COVID-19 Signs</t>
  </si>
  <si>
    <t>JRNLWA00412755</t>
  </si>
  <si>
    <t>Pcard Activity - July</t>
  </si>
  <si>
    <t>AMZN MKTP US MJ1AG7PV1~LYNSIE BRESSLER</t>
  </si>
  <si>
    <t>JRNL00981756</t>
  </si>
  <si>
    <t>JRNLWA00413165</t>
  </si>
  <si>
    <t>B2  7/8/20 to 7/14/20</t>
  </si>
  <si>
    <t>B2:2020-15:ER Wages</t>
  </si>
  <si>
    <t>JRNL00982761</t>
  </si>
  <si>
    <t>B2:2020-15:Expense Reimbursement</t>
  </si>
  <si>
    <t>JRNLWA00413196</t>
  </si>
  <si>
    <t>B2  7/22/20-7/28/20</t>
  </si>
  <si>
    <t>B2:2020-16:ER Wages</t>
  </si>
  <si>
    <t>JRNL00982850</t>
  </si>
  <si>
    <t>B2:2020-16:Expense Reimbursement</t>
  </si>
  <si>
    <t>JRNLWA00413565</t>
  </si>
  <si>
    <t>2020-07 Expense Recalss</t>
  </si>
  <si>
    <t>JRNL00983379</t>
  </si>
  <si>
    <t>JRNLWA00414306</t>
  </si>
  <si>
    <t>B2  8/5/20-8/11/20</t>
  </si>
  <si>
    <t>B2:2020-17:ER Wages</t>
  </si>
  <si>
    <t>JRNL00985384</t>
  </si>
  <si>
    <t>B2:2020-17:Expense Reimbursement</t>
  </si>
  <si>
    <t>JRNLWA00414329</t>
  </si>
  <si>
    <t>B2  8/19/20-8/25/20</t>
  </si>
  <si>
    <t>B2:2020-18:ER Wages</t>
  </si>
  <si>
    <t>JRNL00985439</t>
  </si>
  <si>
    <t>B2:2020-18:Expense Reimbursement</t>
  </si>
  <si>
    <t>JRNLWA00414963</t>
  </si>
  <si>
    <t>2020-08 Expense Recalss</t>
  </si>
  <si>
    <t>awatson</t>
  </si>
  <si>
    <t>12001-2111-000-00</t>
  </si>
  <si>
    <t>JRNL00986458</t>
  </si>
  <si>
    <t>JRNLWA00415815</t>
  </si>
  <si>
    <t>B2 9/1/20-9/8/20</t>
  </si>
  <si>
    <t>B2:2020-19:ER Wages</t>
  </si>
  <si>
    <t>JRNL00988627</t>
  </si>
  <si>
    <t>70105-2111-000-19</t>
  </si>
  <si>
    <t>B2:2020-19:Expense Reimbursement</t>
  </si>
  <si>
    <t>JRNLWA00415826</t>
  </si>
  <si>
    <t>B2 9.16.20-9.22.20</t>
  </si>
  <si>
    <t>B2:2020-20:ER Wages</t>
  </si>
  <si>
    <t>JRNL00988635</t>
  </si>
  <si>
    <t>B2:2020-20:Expense Reimbursement</t>
  </si>
  <si>
    <t>JRNLWA00415860</t>
  </si>
  <si>
    <t>2020-09 B2 Hourly In progress</t>
  </si>
  <si>
    <t>B2:2020-21:ER Wages</t>
  </si>
  <si>
    <t>JRNL00988676</t>
  </si>
  <si>
    <t>JRNLWA00416017</t>
  </si>
  <si>
    <t>JRNL00988689</t>
  </si>
  <si>
    <t>JRNLWA00417816</t>
  </si>
  <si>
    <t>B2 9.30.20_10.06.20</t>
  </si>
  <si>
    <t>JRNL00992735</t>
  </si>
  <si>
    <t>B2:2020-21:Expense Reimbursement</t>
  </si>
  <si>
    <t>JRNLWA00417826</t>
  </si>
  <si>
    <t>B2 10.14.20_10.20.20</t>
  </si>
  <si>
    <t>B2:2020-22:ER Wages</t>
  </si>
  <si>
    <t>JRNL00992768</t>
  </si>
  <si>
    <t>B2:2020-22:Expense Reimbursement</t>
  </si>
  <si>
    <t>JRNLWA00417830</t>
  </si>
  <si>
    <t>B2 10.28.20_11.03.20</t>
  </si>
  <si>
    <t>B2:2020-23:ER Wages</t>
  </si>
  <si>
    <t>JRNL00992773</t>
  </si>
  <si>
    <t>B2:2020-23:Expense Reimbursement</t>
  </si>
  <si>
    <t>52200-2111-000-19</t>
  </si>
  <si>
    <t>JRNLWA00418762</t>
  </si>
  <si>
    <t>Pcard Activity - Nov</t>
  </si>
  <si>
    <t>CHUCKALS OFFICE PRODUCTS~DONALD KENNEY</t>
  </si>
  <si>
    <t>JRNL00995174</t>
  </si>
  <si>
    <t>55086-2111-000-19</t>
  </si>
  <si>
    <t>AMZN MKTP US GF8T74093~LYNSIE BRESSLER</t>
  </si>
  <si>
    <t>JRNLWA00419650</t>
  </si>
  <si>
    <t>B2 11.11.20_11.17.20</t>
  </si>
  <si>
    <t>B2:2020-24:ER Wages</t>
  </si>
  <si>
    <t>JRNL00996662</t>
  </si>
  <si>
    <t>B2:2020-24:Expense Reimbursement</t>
  </si>
  <si>
    <t>JRNLWA00419675</t>
  </si>
  <si>
    <t>B2 11.25.20_12.01.20</t>
  </si>
  <si>
    <t>B2:2020-25:ER Wages</t>
  </si>
  <si>
    <t>JRNL00996683</t>
  </si>
  <si>
    <t>55020-2111-000-19</t>
  </si>
  <si>
    <t>B2:2020-25:Expense Reimbursement</t>
  </si>
  <si>
    <t>JRNLWA00419681</t>
  </si>
  <si>
    <t>Rcls West Reg Thankyou EE tax</t>
  </si>
  <si>
    <t>B2:Medicare_ThankYou</t>
  </si>
  <si>
    <t>JRNL00996695</t>
  </si>
  <si>
    <t>B2:OASDI_ThankYou</t>
  </si>
  <si>
    <t>JRNLWA00419682</t>
  </si>
  <si>
    <t>Rcls West Reg Thankyou Bonus</t>
  </si>
  <si>
    <t>B2: ThankYou Bonus</t>
  </si>
  <si>
    <t>JRNL00996696</t>
  </si>
  <si>
    <t>JRNLWA00419683</t>
  </si>
  <si>
    <t>Rcls West Reg Thankyou ER tax</t>
  </si>
  <si>
    <t>B2:Washington Paid Family &amp; Medical Leav</t>
  </si>
  <si>
    <t>JRNL00996697</t>
  </si>
  <si>
    <t>B2:FUI_ThankYou</t>
  </si>
  <si>
    <t>B2:SUI_ThankYou</t>
  </si>
  <si>
    <t>JRNLWA00419898</t>
  </si>
  <si>
    <t>2020-11 DMR True Up</t>
  </si>
  <si>
    <t>JRNL00997277</t>
  </si>
  <si>
    <t>JRNLWA00420506</t>
  </si>
  <si>
    <t>Pcard Activity - Dec</t>
  </si>
  <si>
    <t>GRAINGER~DONALD KENNEY</t>
  </si>
  <si>
    <t>JRNL00998861</t>
  </si>
  <si>
    <t>RITE AID 06232~BRADLEY SMITH</t>
  </si>
  <si>
    <t>JRNLWA00420964</t>
  </si>
  <si>
    <t>B2 12.09.20_12.22.20</t>
  </si>
  <si>
    <t>B2:2020-26:ER Wages</t>
  </si>
  <si>
    <t>JRNL00999635</t>
  </si>
  <si>
    <t>B2:2020-26:Expense Reimbursement</t>
  </si>
  <si>
    <t>JRNLWA00420966</t>
  </si>
  <si>
    <t>B2 12.23.20_12.29.20</t>
  </si>
  <si>
    <t>B2:2020-27:ER Wages</t>
  </si>
  <si>
    <t>JRNL00999637</t>
  </si>
  <si>
    <t>B2:2020-27:Expense Reimbursement</t>
  </si>
  <si>
    <t>JRNLWA00421008</t>
  </si>
  <si>
    <t>2020-12 B2 Hrly In prog Accrl</t>
  </si>
  <si>
    <t>B2:2021-1:ER Wages</t>
  </si>
  <si>
    <t>JRNL00999725</t>
  </si>
  <si>
    <t>70020-2111-000-19</t>
  </si>
  <si>
    <t>JRNLWA00421387</t>
  </si>
  <si>
    <t>2020-12 Pcard Accrual</t>
  </si>
  <si>
    <t>ULINE   SHIP SUPPLIES~DONALD KENNEY</t>
  </si>
  <si>
    <t>JRNL01000542</t>
  </si>
  <si>
    <t>JRNLWA00421748</t>
  </si>
  <si>
    <t>2020-12 DMR True Up</t>
  </si>
  <si>
    <t>ahuynh</t>
  </si>
  <si>
    <t>JRNL01001172</t>
  </si>
  <si>
    <t>JRNLWA00421842</t>
  </si>
  <si>
    <t>VUS000018694</t>
  </si>
  <si>
    <t>BLUETARP FINANCIAL INC</t>
  </si>
  <si>
    <t>Supplies for installing Covid supplies i</t>
  </si>
  <si>
    <t>J88540-3</t>
  </si>
  <si>
    <t>PO-2111-21-00070</t>
  </si>
  <si>
    <t>VO05655659</t>
  </si>
  <si>
    <t>JRNL01001471</t>
  </si>
  <si>
    <t>JRNLWA00421024</t>
  </si>
  <si>
    <t>JRNL00999732</t>
  </si>
  <si>
    <t>JRNLWA00421437</t>
  </si>
  <si>
    <t>JRNL01000585</t>
  </si>
  <si>
    <t>JRNLWA00422273</t>
  </si>
  <si>
    <t>Pcard Activity - Jan</t>
  </si>
  <si>
    <t>JRNL01002530</t>
  </si>
  <si>
    <t>52120-2111-000-19</t>
  </si>
  <si>
    <t>JRNLWA00422646</t>
  </si>
  <si>
    <t>Workday Expense Report Jan 21</t>
  </si>
  <si>
    <t>Benny Barnes -Parts to install COVID Spr</t>
  </si>
  <si>
    <t>JRNL01003152</t>
  </si>
  <si>
    <t>Benny Barnes -Supplies to mount Covid-19</t>
  </si>
  <si>
    <t>56201-2111-000-19</t>
  </si>
  <si>
    <t>Donald Kenney -Covid temp screening plan</t>
  </si>
  <si>
    <t>JRNLWA00422773</t>
  </si>
  <si>
    <t>B2 1.1.21-1.12.21</t>
  </si>
  <si>
    <t>B2:2021-01:ER Wages</t>
  </si>
  <si>
    <t>JRNL01003382</t>
  </si>
  <si>
    <t>B2:2021-01:Expense Reimbursement</t>
  </si>
  <si>
    <t>JRNLWA00422803</t>
  </si>
  <si>
    <t>B2 1.20.21_1.26.21</t>
  </si>
  <si>
    <t>B2:2021-02:ER Wages</t>
  </si>
  <si>
    <t>JRNL01003587</t>
  </si>
  <si>
    <t>B2:2021-02:Expense Reimbursement</t>
  </si>
  <si>
    <t>JRNLWA00422812</t>
  </si>
  <si>
    <t>2021-01 B2 Hrly In prog Accrl</t>
  </si>
  <si>
    <t>B2:2021-3:ER Wages</t>
  </si>
  <si>
    <t>JRNL01003640</t>
  </si>
  <si>
    <t>JRNLWA00422832</t>
  </si>
  <si>
    <t>JRNL01003656</t>
  </si>
  <si>
    <t>JRNLWA00424283</t>
  </si>
  <si>
    <t>2021-02 Pcard Activity</t>
  </si>
  <si>
    <t>JRNL01006658</t>
  </si>
  <si>
    <t>JRNLWA00424365</t>
  </si>
  <si>
    <t>B2 2.3.21_2.9.21</t>
  </si>
  <si>
    <t>B2:2021-03:ER Wages</t>
  </si>
  <si>
    <t>JRNL01006909</t>
  </si>
  <si>
    <t>B2:2021-03:Expense Reimbursement</t>
  </si>
  <si>
    <t>JRNLWA00424384</t>
  </si>
  <si>
    <t>B2 2.17.21_2.23.21</t>
  </si>
  <si>
    <t>B2:2021-04:ER Wages</t>
  </si>
  <si>
    <t>JRNL01006978</t>
  </si>
  <si>
    <t>B2:2021-04:Expense Reimbursement</t>
  </si>
  <si>
    <t>JRNLWA00424410</t>
  </si>
  <si>
    <t>2021-02 B2 PP5 Accrual</t>
  </si>
  <si>
    <t>50% B2:2021-04:ER Wages</t>
  </si>
  <si>
    <t>JRNL01007041</t>
  </si>
  <si>
    <t>50% B2:2021-04:Expense Reimbursement</t>
  </si>
  <si>
    <t>Row Labels</t>
  </si>
  <si>
    <t>Grand Total</t>
  </si>
  <si>
    <t>Sum of Amount USD</t>
  </si>
  <si>
    <t>PASTED VALUES</t>
  </si>
  <si>
    <t>Murrey's Disposal Co., Inc. G-9</t>
  </si>
  <si>
    <t>Revenue Price Out by Service Level and Line of Business</t>
  </si>
  <si>
    <t>Per Tariff</t>
  </si>
  <si>
    <t>Number of Months</t>
  </si>
  <si>
    <t>January 2020 - Present</t>
  </si>
  <si>
    <t>MURREYS</t>
  </si>
  <si>
    <t>Revenue</t>
  </si>
  <si>
    <t>Customer Count</t>
  </si>
  <si>
    <t>MF Container</t>
  </si>
  <si>
    <t>MF Recycling Yards Per Month</t>
  </si>
  <si>
    <t>Service Code</t>
  </si>
  <si>
    <t>Service Code Description</t>
  </si>
  <si>
    <t>Tariff Rate 1/1/2020 - 2/28/2020</t>
  </si>
  <si>
    <t>Tariff Rate 3/1/2020 - Present</t>
  </si>
  <si>
    <t>Total</t>
  </si>
  <si>
    <t>Average</t>
  </si>
  <si>
    <t>2019 Recycle</t>
  </si>
  <si>
    <t>2019 Garbage</t>
  </si>
  <si>
    <t>RESIDENTIAL SERVICES</t>
  </si>
  <si>
    <t>RESIDENTIAL</t>
  </si>
  <si>
    <t>RESIDENTIAL GARBAGE</t>
  </si>
  <si>
    <t>10RW1N</t>
  </si>
  <si>
    <t>1-10 GAL CART WKLY NON REC</t>
  </si>
  <si>
    <t>10RW1R</t>
  </si>
  <si>
    <t>1-10 GAL CART WKLY W/ REC</t>
  </si>
  <si>
    <t>20RM1</t>
  </si>
  <si>
    <t>1-20 GAL CART MONTHLY</t>
  </si>
  <si>
    <t>20RW1</t>
  </si>
  <si>
    <t>1-20 GAL CAN WEEKLY</t>
  </si>
  <si>
    <t>20RW1N</t>
  </si>
  <si>
    <t>1-20 GL CART WKLY NON REC</t>
  </si>
  <si>
    <t>20RW1NR</t>
  </si>
  <si>
    <t>1-20 GAL WKLY NON REC</t>
  </si>
  <si>
    <t>20RW1R</t>
  </si>
  <si>
    <t>1-20 GL CART WKLY W/ RECY</t>
  </si>
  <si>
    <t>20ROCPU</t>
  </si>
  <si>
    <t>1-20 GAL CART ON CALL</t>
  </si>
  <si>
    <t>24RW1N</t>
  </si>
  <si>
    <t>1-24 GL CART WKLY NON REC</t>
  </si>
  <si>
    <t>24RW1R</t>
  </si>
  <si>
    <t>1-24 GL CART WKLY W/ RECY</t>
  </si>
  <si>
    <t>32RE1</t>
  </si>
  <si>
    <t>1-32 GAL CAN EOW</t>
  </si>
  <si>
    <t>32RM1</t>
  </si>
  <si>
    <t>1-32 GAL CAN MONTHLY</t>
  </si>
  <si>
    <t>32ROCPU</t>
  </si>
  <si>
    <t>1-32 GAL CAN-ON CALL</t>
  </si>
  <si>
    <t>32RW1</t>
  </si>
  <si>
    <t>1-32 GAL CAN WEEKLY</t>
  </si>
  <si>
    <t>32RW1N</t>
  </si>
  <si>
    <t>1-32 GL CART WKLY NON REC</t>
  </si>
  <si>
    <t>32RW1NR</t>
  </si>
  <si>
    <t>1-32 GAL WKLY NON REC</t>
  </si>
  <si>
    <t>32RW1R</t>
  </si>
  <si>
    <t>1-32 GL CART WKLY W/ RECY</t>
  </si>
  <si>
    <t>32RW2</t>
  </si>
  <si>
    <t>2-32 GAL CANS WEEKLY</t>
  </si>
  <si>
    <t>32RW2R</t>
  </si>
  <si>
    <t>2-32 GL CART WKLY W/ RECY</t>
  </si>
  <si>
    <t>32RW2NR</t>
  </si>
  <si>
    <t>2-32 GAL WKLY NON REC</t>
  </si>
  <si>
    <t>32RW3</t>
  </si>
  <si>
    <t>3-32 GAL CANS WEEKLY</t>
  </si>
  <si>
    <t>32RW3NR</t>
  </si>
  <si>
    <t>3-32 GAL WKLY NON REC</t>
  </si>
  <si>
    <t>32RW4</t>
  </si>
  <si>
    <t>4-32 GAL CANS WEEKLY</t>
  </si>
  <si>
    <t>32RW4NR</t>
  </si>
  <si>
    <t>4-32 GAL WKLY NON REC</t>
  </si>
  <si>
    <t>32RW5</t>
  </si>
  <si>
    <t>5-32 GAL CANS WEEKLY</t>
  </si>
  <si>
    <t>32RW5NR</t>
  </si>
  <si>
    <t>5-32 GAL WKLY NON REC</t>
  </si>
  <si>
    <t>32RW6</t>
  </si>
  <si>
    <t>6-32 GAL CANS WEEKLY</t>
  </si>
  <si>
    <t>10RW1</t>
  </si>
  <si>
    <t>1-10 GAL CAN WEEKLY</t>
  </si>
  <si>
    <t>32RW6R</t>
  </si>
  <si>
    <t>6-32 GAL WKLY W/ RECY SVC</t>
  </si>
  <si>
    <t>35RM1</t>
  </si>
  <si>
    <t>1-35 GAL CART MONTHLY</t>
  </si>
  <si>
    <t>35RW1N</t>
  </si>
  <si>
    <t>1-35 GAL CART WKLY NONREC</t>
  </si>
  <si>
    <t>35ROCPU</t>
  </si>
  <si>
    <t>1-35 GAL CART ON CALL</t>
  </si>
  <si>
    <t>35RW1R</t>
  </si>
  <si>
    <t>1-35 GAL CART WKLY W/REC</t>
  </si>
  <si>
    <t>64RW1N</t>
  </si>
  <si>
    <t>1-64 GAL CART WKLY NONREC</t>
  </si>
  <si>
    <t>64RW1R</t>
  </si>
  <si>
    <t>1-64 GAL CART WKLY W/REC</t>
  </si>
  <si>
    <t>65RM1</t>
  </si>
  <si>
    <t>1-65 GAL CART MONTHLY</t>
  </si>
  <si>
    <t>65RW1N</t>
  </si>
  <si>
    <t>1-65 GAL CART WKLY NONREC</t>
  </si>
  <si>
    <t>65RW1R</t>
  </si>
  <si>
    <t>1-65 GAL CART WKLY W/REC</t>
  </si>
  <si>
    <t>65ROCPU</t>
  </si>
  <si>
    <t>1-65 GAL CART ON CALL</t>
  </si>
  <si>
    <t>95RM1</t>
  </si>
  <si>
    <t>1-95 GAL CART MONTHLY</t>
  </si>
  <si>
    <t>95RW1N</t>
  </si>
  <si>
    <t>1-95 GAL CART WKLY NONREC</t>
  </si>
  <si>
    <t>95RW1R</t>
  </si>
  <si>
    <t>1-95 GAL CART WKLY W/REC</t>
  </si>
  <si>
    <t>96RW1N</t>
  </si>
  <si>
    <t>1-96 GAL CART WKLY NONREC</t>
  </si>
  <si>
    <t>96RW1R</t>
  </si>
  <si>
    <t>1-96 GAL CART WKLY W/REC</t>
  </si>
  <si>
    <t>ADJRES</t>
  </si>
  <si>
    <t>SERVICE ADJ-RESIDENTIAL</t>
  </si>
  <si>
    <t>CARRY-RES</t>
  </si>
  <si>
    <t>CARRY OUT -RES</t>
  </si>
  <si>
    <t>DELTOT</t>
  </si>
  <si>
    <t>GARB CART REDELIVERY</t>
  </si>
  <si>
    <t>DRIVEPRVT-RES</t>
  </si>
  <si>
    <t>DRIVE IN PRIVATE RD - RES</t>
  </si>
  <si>
    <t>DRVNRE1</t>
  </si>
  <si>
    <t>DRIVE IN UP TO 125'-EOW</t>
  </si>
  <si>
    <t>DRVNRW1</t>
  </si>
  <si>
    <t>DRIVE IN UP TO 125'-WKLY</t>
  </si>
  <si>
    <t>DRVNRW2</t>
  </si>
  <si>
    <t>DRIVE IN OVER 125'-WKLY</t>
  </si>
  <si>
    <t>GWCR</t>
  </si>
  <si>
    <t>GOOD WILL CREDIT - RESI</t>
  </si>
  <si>
    <t>IMPCNR1</t>
  </si>
  <si>
    <t>1 IMPROPER CAN - RESI</t>
  </si>
  <si>
    <t>IMPCNR2</t>
  </si>
  <si>
    <t>2 IMPROPER CANS - RESI</t>
  </si>
  <si>
    <t>OBSR</t>
  </si>
  <si>
    <t>OBSTRUCTION</t>
  </si>
  <si>
    <t>OS</t>
  </si>
  <si>
    <t>OVERSIZE UNIT</t>
  </si>
  <si>
    <t>OSOW</t>
  </si>
  <si>
    <t>OVERSIZE/OVERWEIGHT</t>
  </si>
  <si>
    <t>OW</t>
  </si>
  <si>
    <t>OVERWEIGHT UNIT</t>
  </si>
  <si>
    <t>PACKLC</t>
  </si>
  <si>
    <t>CARRY-OUT LONG DISTANCE</t>
  </si>
  <si>
    <t>PACKR</t>
  </si>
  <si>
    <t>CARRY-OUT RESIDENTIAL</t>
  </si>
  <si>
    <t>PACKSNR</t>
  </si>
  <si>
    <t>CARRY-OUT SENIOR SERVICE</t>
  </si>
  <si>
    <t>RESTART FEE</t>
  </si>
  <si>
    <t>REXTRA</t>
  </si>
  <si>
    <t>EXTRA UNITS</t>
  </si>
  <si>
    <t>BULKY-RES</t>
  </si>
  <si>
    <t>BULKY ITEM</t>
  </si>
  <si>
    <t>DELCART</t>
  </si>
  <si>
    <t>CART REDELIVERY</t>
  </si>
  <si>
    <t>SUNKENR</t>
  </si>
  <si>
    <t>SUNKEN CAN CHARGE - RESI</t>
  </si>
  <si>
    <t>TRIPRCANS</t>
  </si>
  <si>
    <t>RETURN TRIP CHARGE - CANS</t>
  </si>
  <si>
    <t>TRIPRCARTS</t>
  </si>
  <si>
    <t>RESI TRIP CHARGE - CARTS</t>
  </si>
  <si>
    <t>TOTAL RESIDENTIAL GARBAGE</t>
  </si>
  <si>
    <t>Recycling Customers</t>
  </si>
  <si>
    <t>RESIDENTIAL RECYCLING</t>
  </si>
  <si>
    <t>recyonly</t>
  </si>
  <si>
    <t>RECYCLE SERVICE ONLY</t>
  </si>
  <si>
    <t>RECYR</t>
  </si>
  <si>
    <t>RECYCLE PROGRAM</t>
  </si>
  <si>
    <t>RECYR65</t>
  </si>
  <si>
    <t>65 GAL WKLY RECY PROGRAM</t>
  </si>
  <si>
    <t>RECYRNB</t>
  </si>
  <si>
    <t>RECY PROGRAM-NO CART</t>
  </si>
  <si>
    <t>DRVNR-RECYCLE</t>
  </si>
  <si>
    <t>DRIVE IN RECYCLE</t>
  </si>
  <si>
    <t>PACKR-RECYCLE</t>
  </si>
  <si>
    <t>RECY ROLLOUT RESI &lt;25'</t>
  </si>
  <si>
    <t>PACKR-RECYADL</t>
  </si>
  <si>
    <t>RECYROLLOUT &gt;25' PER 5'</t>
  </si>
  <si>
    <t>TOTERDEL</t>
  </si>
  <si>
    <t>RECYCLE TOTER REDELIVERY</t>
  </si>
  <si>
    <t>RECYDEL</t>
  </si>
  <si>
    <t>TOTAL RESIDENTIAL RECYCLING</t>
  </si>
  <si>
    <t>RESIDENTIAL YARD WASTE</t>
  </si>
  <si>
    <t>YDW90</t>
  </si>
  <si>
    <t>90 GAL YARDWASTE</t>
  </si>
  <si>
    <t>YDW65</t>
  </si>
  <si>
    <t>65 GAL WKLY YW PROGRAM</t>
  </si>
  <si>
    <t>YDW90SNR</t>
  </si>
  <si>
    <t>SENIOR YARD WASTE</t>
  </si>
  <si>
    <t>YDWDEL</t>
  </si>
  <si>
    <t>YARDWASTE REDELIVERY</t>
  </si>
  <si>
    <t>YDWEX</t>
  </si>
  <si>
    <t>EXTRA YARD WASTE</t>
  </si>
  <si>
    <t>DRVNR-YARDWASTE</t>
  </si>
  <si>
    <t>DRIVE IN YARDWASTE</t>
  </si>
  <si>
    <t>PACKR-YARDWASTE</t>
  </si>
  <si>
    <t>YRDWSTE ROLLOUT RES &lt;25'</t>
  </si>
  <si>
    <t>TRIPYCARTS</t>
  </si>
  <si>
    <t>YDW TRIP CHARGE - RESI</t>
  </si>
  <si>
    <t>PACKR-YARDAD</t>
  </si>
  <si>
    <t>YDWSTROLLOUT &gt;25' PER 5'</t>
  </si>
  <si>
    <t>MYDW90</t>
  </si>
  <si>
    <t>MF YARDWASTE</t>
  </si>
  <si>
    <t>TOTAL RESIDENTIAL YARD WASTE</t>
  </si>
  <si>
    <t>SUBTOTAL RESIDENTIAL</t>
  </si>
  <si>
    <t>COMMERCIAL SERVICES</t>
  </si>
  <si>
    <t>COMMERCIAL</t>
  </si>
  <si>
    <t>COMMERCIAL GARBAGE</t>
  </si>
  <si>
    <t>20CW1</t>
  </si>
  <si>
    <t>1-20 GAL CART WKLY</t>
  </si>
  <si>
    <t>32C2W2</t>
  </si>
  <si>
    <t>2-32 GAL CANS 2X WEEKLY</t>
  </si>
  <si>
    <t>32CE1</t>
  </si>
  <si>
    <t>32 GAL CAN COMM EOW</t>
  </si>
  <si>
    <t>32CW1</t>
  </si>
  <si>
    <t>2-32 GAL CANS WKLY</t>
  </si>
  <si>
    <t>32CW2</t>
  </si>
  <si>
    <t>32CW3</t>
  </si>
  <si>
    <t>3-32 GAL CANS WKLY</t>
  </si>
  <si>
    <t>32CW4</t>
  </si>
  <si>
    <t>4-32 GAL CANS WKLY</t>
  </si>
  <si>
    <t>35CW1</t>
  </si>
  <si>
    <t>1-35 GAL CART WKLY</t>
  </si>
  <si>
    <t>65CW1</t>
  </si>
  <si>
    <t>1-65 GAL CART WKLY</t>
  </si>
  <si>
    <t>95CW1</t>
  </si>
  <si>
    <t>1-95 GAL CART WKLY</t>
  </si>
  <si>
    <t>F1YD1W</t>
  </si>
  <si>
    <t>1YD CONT 1X WEEKLY</t>
  </si>
  <si>
    <t>R1YD1W</t>
  </si>
  <si>
    <t>1YD CONT 1xWEEKLY</t>
  </si>
  <si>
    <t>F1YD2W</t>
  </si>
  <si>
    <t>1YD CONT 2X WEEKLY</t>
  </si>
  <si>
    <t>R1YD2W</t>
  </si>
  <si>
    <t>1YD CONT 2xWEEKLY</t>
  </si>
  <si>
    <t>R1YD3W</t>
  </si>
  <si>
    <t>1YD CONT 3xWEEKLY</t>
  </si>
  <si>
    <t>R1YDEOW</t>
  </si>
  <si>
    <t>1YD CONT EOW</t>
  </si>
  <si>
    <t>R1YDTPU</t>
  </si>
  <si>
    <t>1YD TEMP CONT</t>
  </si>
  <si>
    <t>R1.5YD1W</t>
  </si>
  <si>
    <t>1.5YD CONT 1xWEEKLY</t>
  </si>
  <si>
    <t>F1.5YD1W</t>
  </si>
  <si>
    <t>1.5YD CONT 1X WEEKLY</t>
  </si>
  <si>
    <t>R1.5YD2W</t>
  </si>
  <si>
    <t>1.5YD CONT 2xWEEKLY</t>
  </si>
  <si>
    <t>R1.5YD3W</t>
  </si>
  <si>
    <t>1.5YD CONT 3xWEEKLY</t>
  </si>
  <si>
    <t>R1.5YDEOW</t>
  </si>
  <si>
    <t>1.5YD CONT EOW</t>
  </si>
  <si>
    <t>R1.5YDTPU</t>
  </si>
  <si>
    <t>1.5YD TEMP CONTAINER</t>
  </si>
  <si>
    <t>F2YD1W</t>
  </si>
  <si>
    <t>2YD CONT 1X WEEKLY</t>
  </si>
  <si>
    <t>R2YD1W</t>
  </si>
  <si>
    <t>2YD CONT 1xWEEKLY</t>
  </si>
  <si>
    <t>F2YD2W</t>
  </si>
  <si>
    <t>2YD CONT 2X WEEKLY</t>
  </si>
  <si>
    <t>R2YD2W</t>
  </si>
  <si>
    <t>2YD CONT 2xWEEKLY</t>
  </si>
  <si>
    <t>F2YD3W</t>
  </si>
  <si>
    <t>2YD CONT 3X WEEKLY</t>
  </si>
  <si>
    <t>R2YD3W</t>
  </si>
  <si>
    <t>2YD CONT 3xWEEKLY</t>
  </si>
  <si>
    <t>R2YD4W</t>
  </si>
  <si>
    <t>2YD CONT 4xWEEKLY</t>
  </si>
  <si>
    <t>R2YD5W</t>
  </si>
  <si>
    <t>2YD CONT 5xWEEKLY</t>
  </si>
  <si>
    <t>R2YDEOW</t>
  </si>
  <si>
    <t>2YD CONT EOW</t>
  </si>
  <si>
    <t>R2YDTPU</t>
  </si>
  <si>
    <t>2YD TEMP CONTAINER</t>
  </si>
  <si>
    <t>F1.5YD2W</t>
  </si>
  <si>
    <t>1.5YD CONT 2X WEEKLY</t>
  </si>
  <si>
    <t>F4YD1W</t>
  </si>
  <si>
    <t>4YD CONT 1X WEEKLY</t>
  </si>
  <si>
    <t>F4YD2W</t>
  </si>
  <si>
    <t>4YD CONT 2X WEEKLY</t>
  </si>
  <si>
    <t>F4YD3W</t>
  </si>
  <si>
    <t>4YD CONT 3X WEEKLY</t>
  </si>
  <si>
    <t>F4YD4W</t>
  </si>
  <si>
    <t>4YD CONT 4X WEEKLY SVC</t>
  </si>
  <si>
    <t>F6YD1W</t>
  </si>
  <si>
    <t>6YD CONT 1X WEEKLY</t>
  </si>
  <si>
    <t>F6YD2W</t>
  </si>
  <si>
    <t>6YD CONT 2X WEEKLY</t>
  </si>
  <si>
    <t>F6YD3W</t>
  </si>
  <si>
    <t>6YD CONT 3X WEEKLY</t>
  </si>
  <si>
    <t>F6YD4W</t>
  </si>
  <si>
    <t>6YD CONT 4X WEEKLY</t>
  </si>
  <si>
    <t>F6YD5W</t>
  </si>
  <si>
    <t>6YD CONT 5X WEEKLY</t>
  </si>
  <si>
    <t>F6YDEX</t>
  </si>
  <si>
    <t>6YD CONT EXTRA PICKUP</t>
  </si>
  <si>
    <t>F8YD2W</t>
  </si>
  <si>
    <t>8 YD CONT 2X WKLY</t>
  </si>
  <si>
    <t>FCP2YD1W2.25-1</t>
  </si>
  <si>
    <t>2 YD 2.25-1 COMP 1X WK</t>
  </si>
  <si>
    <t>FCP2YD1W4-1</t>
  </si>
  <si>
    <t>2 YD 4-1 COMP 1X WK</t>
  </si>
  <si>
    <t>FCP2YD2W</t>
  </si>
  <si>
    <t>2 YD COMPACTOR 2X WKLY</t>
  </si>
  <si>
    <t>FCP2YD1W</t>
  </si>
  <si>
    <t>2YD COMPACTOR 1X WKLY</t>
  </si>
  <si>
    <t>FCP4YDEX</t>
  </si>
  <si>
    <t>4YD COMP EXTRA PU</t>
  </si>
  <si>
    <t>FCP4YDOC</t>
  </si>
  <si>
    <t>4YD COMPACTOR ON CALL</t>
  </si>
  <si>
    <t>FCP6YD1W</t>
  </si>
  <si>
    <t>6YD COMPACTOR 1X WKLY</t>
  </si>
  <si>
    <t>FCP6YD1W4-1</t>
  </si>
  <si>
    <t>FCP4YD1W2.25-1</t>
  </si>
  <si>
    <t>4 YD 2.25-1 COMP 1X WK</t>
  </si>
  <si>
    <t>FCP4YD1W4-1</t>
  </si>
  <si>
    <t>4YD 4-1 COMP 1X WK</t>
  </si>
  <si>
    <t>FCP4YD1W5-1</t>
  </si>
  <si>
    <t>4 YD 5-1 COMP 1X WK</t>
  </si>
  <si>
    <t>FCP4YDEOW5-1</t>
  </si>
  <si>
    <t>4 YD 5-1 COMP EOW</t>
  </si>
  <si>
    <t>FCP4YDOC5-1</t>
  </si>
  <si>
    <t>4 YD 5-1 COMP ON CALL</t>
  </si>
  <si>
    <t>FCP6YD2W</t>
  </si>
  <si>
    <t>6YD COMPACTOR 2X WKLY</t>
  </si>
  <si>
    <t>FCP6YD2W3-1</t>
  </si>
  <si>
    <t>6 YD 3-1 COMP 2X WK</t>
  </si>
  <si>
    <t>FCP6YD2W4-1</t>
  </si>
  <si>
    <t>6 YD 4-1 COMP 2X WK</t>
  </si>
  <si>
    <t>IMPCNC</t>
  </si>
  <si>
    <t>1 IMPROPER CAN - CMML</t>
  </si>
  <si>
    <t>PACKC</t>
  </si>
  <si>
    <t>CARRY-OUT COMMERCIAL</t>
  </si>
  <si>
    <t>R1YDEX</t>
  </si>
  <si>
    <t>1YD CONTAINER EXTRA</t>
  </si>
  <si>
    <t>F1YDEX</t>
  </si>
  <si>
    <t>1YD CONT EXTRA</t>
  </si>
  <si>
    <t>R1.5YDEX</t>
  </si>
  <si>
    <t>1.5YD CONTAINER EXTRA</t>
  </si>
  <si>
    <t>R2YDEX</t>
  </si>
  <si>
    <t>2YD CONTAINER EXTRA</t>
  </si>
  <si>
    <t>F2YDEX</t>
  </si>
  <si>
    <t>2YD CONT EXTRA</t>
  </si>
  <si>
    <t>F4YDEX</t>
  </si>
  <si>
    <t>4YD CONT EXTRA PICKUP</t>
  </si>
  <si>
    <t>ADJCOM</t>
  </si>
  <si>
    <t>SERVICE ADJ-COMMERCIAL</t>
  </si>
  <si>
    <t>CCONNECT</t>
  </si>
  <si>
    <t>CMML CONNECT/RECONNECT</t>
  </si>
  <si>
    <t>CDEL</t>
  </si>
  <si>
    <t>CONTAINER DELIVERY CHARGE</t>
  </si>
  <si>
    <t>CEX</t>
  </si>
  <si>
    <t>EXTRA CANS</t>
  </si>
  <si>
    <t>BULKY-COM</t>
  </si>
  <si>
    <t>CEXYD</t>
  </si>
  <si>
    <t>CMML EXTRA YARDAGE</t>
  </si>
  <si>
    <t>CLOCK</t>
  </si>
  <si>
    <t>LOCK CHARGE-CONTAINER</t>
  </si>
  <si>
    <t>CROLL</t>
  </si>
  <si>
    <t>ROLLOUT CHARGE - CMML</t>
  </si>
  <si>
    <t>CGATE</t>
  </si>
  <si>
    <t>GATE OPEN/CLOSE</t>
  </si>
  <si>
    <t>CTDEL</t>
  </si>
  <si>
    <t>TEMP CONTAINER DELIVERY</t>
  </si>
  <si>
    <t>CTRIP</t>
  </si>
  <si>
    <t>RETURN TRIP CHARGE - CONT</t>
  </si>
  <si>
    <t>CTRIPCAN</t>
  </si>
  <si>
    <t>RETURN TRIP CHG - CANS</t>
  </si>
  <si>
    <t>CUNLOCK</t>
  </si>
  <si>
    <t>COMM UNLOCK GATE OR CONT</t>
  </si>
  <si>
    <t>DRIVEDWAY-COMM</t>
  </si>
  <si>
    <t>DRIVE IN DRIVEWAY - COMM</t>
  </si>
  <si>
    <t>DRIVEPVT-COMM</t>
  </si>
  <si>
    <t>DRIVE IN PRIVATE RD - COMM</t>
  </si>
  <si>
    <t>DRVNC</t>
  </si>
  <si>
    <t>DRIVE IN - CMML</t>
  </si>
  <si>
    <t>RESTART FEE-COM</t>
  </si>
  <si>
    <t>DAMAGE</t>
  </si>
  <si>
    <t>CHARGE FOR DAMAGE</t>
  </si>
  <si>
    <t>TIMEC</t>
  </si>
  <si>
    <t>CMML TIME CHARGE</t>
  </si>
  <si>
    <t>TOTAL COMMERCIAL GARBAGE</t>
  </si>
  <si>
    <t>COMMERCIAL RECYCLING</t>
  </si>
  <si>
    <t>1.5YDCOM1W</t>
  </si>
  <si>
    <t>1.5YD COMMINGLED 1X WK</t>
  </si>
  <si>
    <t>MYDW65</t>
  </si>
  <si>
    <t>65 GAL WKLY YARDWASTE</t>
  </si>
  <si>
    <t>1.5YDFOOD1W</t>
  </si>
  <si>
    <t>1.5 YD FOOD WASTE 1X WK</t>
  </si>
  <si>
    <t>2YDCOM1W</t>
  </si>
  <si>
    <t>2YDCOMMINGLED 1X WK</t>
  </si>
  <si>
    <t>2YDCOM2W</t>
  </si>
  <si>
    <t>2YDCOMMINGLED 2X WK</t>
  </si>
  <si>
    <t>2YDCOM3W</t>
  </si>
  <si>
    <t>2YDCOMMINGLED 3X WK</t>
  </si>
  <si>
    <t>2YDCOM4W</t>
  </si>
  <si>
    <t>2 YD COMMINGLE 4X WK</t>
  </si>
  <si>
    <t>2YDCOMEW</t>
  </si>
  <si>
    <t>2yd COMMINGLE EOW</t>
  </si>
  <si>
    <t>2YDFOOD1W</t>
  </si>
  <si>
    <t>2 YD FOOD WASTE 1X WK</t>
  </si>
  <si>
    <t>2YDOCC1W</t>
  </si>
  <si>
    <t>2YD OCC CAGE 1X WEEKLY</t>
  </si>
  <si>
    <t>2YDOCC2W</t>
  </si>
  <si>
    <t>2YD OCC CAGE 2X WEEKLY</t>
  </si>
  <si>
    <t>2YDOCC3W</t>
  </si>
  <si>
    <t>2YD OCC CAGE 3X WEEKLY</t>
  </si>
  <si>
    <t>2YDOCC4W</t>
  </si>
  <si>
    <t>2YD OCC CAGE 4X WEEKLY</t>
  </si>
  <si>
    <t>2YDOCCEW</t>
  </si>
  <si>
    <t>2yd OCC CAGE EOW</t>
  </si>
  <si>
    <t>64FOOD1W</t>
  </si>
  <si>
    <t>64 GL FOOD WASTE 1X WK</t>
  </si>
  <si>
    <t>6YDCOM1W</t>
  </si>
  <si>
    <t>6YDCOMMINGLED 1X WK</t>
  </si>
  <si>
    <t>6YDCOM2W</t>
  </si>
  <si>
    <t>6YDCOMMINGLED 2X WK</t>
  </si>
  <si>
    <t>6YDCOM3W</t>
  </si>
  <si>
    <t>6YDCOMMINGLED 3X WK</t>
  </si>
  <si>
    <t>6YDCOM4W</t>
  </si>
  <si>
    <t>6 YD COMMINGLED 4X WK</t>
  </si>
  <si>
    <t>6YDCOM5W</t>
  </si>
  <si>
    <t>6YD COMMINGLED 5X WK</t>
  </si>
  <si>
    <t>6YDCOMEW</t>
  </si>
  <si>
    <t>6YD COMMINGLE EOW</t>
  </si>
  <si>
    <t>6YDOCC1W</t>
  </si>
  <si>
    <t>6YD OCC CAGE 1X WEEKLY</t>
  </si>
  <si>
    <t>6YDOCC2W</t>
  </si>
  <si>
    <t>6YD OCC CAGE 2X WEEKLY</t>
  </si>
  <si>
    <t>6YDOCC3W</t>
  </si>
  <si>
    <t>6YD OCC CAGE 3X WEEKLY</t>
  </si>
  <si>
    <t>6YDOCC4W</t>
  </si>
  <si>
    <t>6YD OCC CAGE 4X WEEKLY</t>
  </si>
  <si>
    <t>6YDOCC5W</t>
  </si>
  <si>
    <t>6YD OCC CAGE 5X WEEKLY</t>
  </si>
  <si>
    <t>6YDOCCEW</t>
  </si>
  <si>
    <t>6YD OCC CAGE EOW</t>
  </si>
  <si>
    <t>90COM1E</t>
  </si>
  <si>
    <t>90 GAL COMMINGLED EOW</t>
  </si>
  <si>
    <t>90COM1W</t>
  </si>
  <si>
    <t>90 GAL COMMINGLED 1 X WK</t>
  </si>
  <si>
    <t>90COM2W</t>
  </si>
  <si>
    <t>90 GL COMMINGLE 2X WK</t>
  </si>
  <si>
    <t>90FOOD1E</t>
  </si>
  <si>
    <t>90GAL FOOD WASTE EOW</t>
  </si>
  <si>
    <t>96FOOD1W</t>
  </si>
  <si>
    <t>96 GAL FOOD WASTE 1X WK</t>
  </si>
  <si>
    <t>RECYSVC</t>
  </si>
  <si>
    <t>COMM RECYCLE</t>
  </si>
  <si>
    <t>RECYCOMPHR</t>
  </si>
  <si>
    <t>RECY COMPACTOR HRLY HAUL</t>
  </si>
  <si>
    <t>TOTAL COMMERCIAL RECYCLING</t>
  </si>
  <si>
    <t>MULTI-FAMILY</t>
  </si>
  <si>
    <t>MULTI-FAMILY GARBAGE</t>
  </si>
  <si>
    <t>20MOCPU</t>
  </si>
  <si>
    <t>MF 1-20 GAL CART ON CALL</t>
  </si>
  <si>
    <t>20MW1N</t>
  </si>
  <si>
    <t>MF 1-20 GAL CART NONREC</t>
  </si>
  <si>
    <t>32MW1</t>
  </si>
  <si>
    <t>1-32 GAL CAN MULTI-FAMILY</t>
  </si>
  <si>
    <t>32MW1NR</t>
  </si>
  <si>
    <t>MF 1 CAN NON RECY</t>
  </si>
  <si>
    <t>32MW2</t>
  </si>
  <si>
    <t>2-32 GAL CANS MULTI-FAMILY</t>
  </si>
  <si>
    <t>32MW3</t>
  </si>
  <si>
    <t>3-32 GAL CANS MULTI-FAMILY</t>
  </si>
  <si>
    <t>32MW3NR</t>
  </si>
  <si>
    <t>MF 3 CAN NON RECY</t>
  </si>
  <si>
    <t>32MW4</t>
  </si>
  <si>
    <t>4-32 GAL CANS MULTI-FAMILY</t>
  </si>
  <si>
    <t>32MW4NR</t>
  </si>
  <si>
    <t>MF 4 CAN NON RECY</t>
  </si>
  <si>
    <t>32MW5</t>
  </si>
  <si>
    <t>5-32 GAL CANS MULTI-FAMILY</t>
  </si>
  <si>
    <t>20MW1</t>
  </si>
  <si>
    <t>MF 1-20 GAL CART</t>
  </si>
  <si>
    <t>35MOCPU</t>
  </si>
  <si>
    <t>MF 1-35 GAL  CART ON CALL</t>
  </si>
  <si>
    <t>35MW1</t>
  </si>
  <si>
    <t>MF 1-35 GAL CART</t>
  </si>
  <si>
    <t>35MW1N</t>
  </si>
  <si>
    <t>MF 1-35 GAL CART NONREC</t>
  </si>
  <si>
    <t>65MW1</t>
  </si>
  <si>
    <t>MF 1-65 GAL CART</t>
  </si>
  <si>
    <t>65MW1N</t>
  </si>
  <si>
    <t>MF 1-65 GAL CART NONREC</t>
  </si>
  <si>
    <t>95MW1</t>
  </si>
  <si>
    <t>MF 1-95 GAL CART</t>
  </si>
  <si>
    <t>95MW1N</t>
  </si>
  <si>
    <t>MF 1-95 GAL CART NONREC</t>
  </si>
  <si>
    <t>MCCWR35</t>
  </si>
  <si>
    <t>MF 1-35 GL CART COUNT</t>
  </si>
  <si>
    <t>MCCWR65</t>
  </si>
  <si>
    <t>MF 1-65 GL CART COUNT</t>
  </si>
  <si>
    <t>MCCWR95</t>
  </si>
  <si>
    <t xml:space="preserve">MF 1-95 GL CART COUNT </t>
  </si>
  <si>
    <t>MCCWR1</t>
  </si>
  <si>
    <t>MF CAN COUNT W/RECYCLING</t>
  </si>
  <si>
    <t>MCCWRA</t>
  </si>
  <si>
    <t>MF CAN COUNT W/ RECY ADDT</t>
  </si>
  <si>
    <t>MSRTOT</t>
  </si>
  <si>
    <t>MF TOTER SERVICE</t>
  </si>
  <si>
    <t>M1YD1W</t>
  </si>
  <si>
    <t>MF 1YD CONT 1X WKLY</t>
  </si>
  <si>
    <t>EOW</t>
  </si>
  <si>
    <t>M1YD2W</t>
  </si>
  <si>
    <t>MF 1YD CONT 2X WKLY</t>
  </si>
  <si>
    <t>Weekly</t>
  </si>
  <si>
    <t>M1YDTPU</t>
  </si>
  <si>
    <t>MF 1YD TEMP CONT</t>
  </si>
  <si>
    <t>3x week</t>
  </si>
  <si>
    <t>M1.5YD1W</t>
  </si>
  <si>
    <t>MF 1.5YD CONT 1X WKLY</t>
  </si>
  <si>
    <t>Recycle Rate</t>
  </si>
  <si>
    <t>M1.5YD2W</t>
  </si>
  <si>
    <t>MF 1.5YD CONT 2X WKLY</t>
  </si>
  <si>
    <t>M1.5YD3W</t>
  </si>
  <si>
    <t>MF 1.5YD CONT 3X WKLY</t>
  </si>
  <si>
    <t>Service</t>
  </si>
  <si>
    <t>Freq.</t>
  </si>
  <si>
    <t>M1.5YDTPU</t>
  </si>
  <si>
    <t>MF 1.5YD TEMP CONT</t>
  </si>
  <si>
    <t>M2YD1W</t>
  </si>
  <si>
    <t>MF 2YD CONT 1X WKLY</t>
  </si>
  <si>
    <t>4x week</t>
  </si>
  <si>
    <t>M2YD2W</t>
  </si>
  <si>
    <t>MF 2YD CONT 2X WKLY</t>
  </si>
  <si>
    <t>Extra/Temp</t>
  </si>
  <si>
    <t>M2YD3W</t>
  </si>
  <si>
    <t>MF 2YD CONT 3X WKLY</t>
  </si>
  <si>
    <t>M2YDTPU</t>
  </si>
  <si>
    <t>MF 2YD TEMP CONT</t>
  </si>
  <si>
    <t>1YD</t>
  </si>
  <si>
    <t>M4YD1W</t>
  </si>
  <si>
    <t>MF 4YD CONT 1X WKLY</t>
  </si>
  <si>
    <t>1.5YD</t>
  </si>
  <si>
    <t>M4YD2W</t>
  </si>
  <si>
    <t>MF 4YD CONT 2X WKLY</t>
  </si>
  <si>
    <t>2YD</t>
  </si>
  <si>
    <t>M6YD1W</t>
  </si>
  <si>
    <t>MF 6YD CONT 1X WKLY</t>
  </si>
  <si>
    <t>4YD</t>
  </si>
  <si>
    <t>M6YD2W</t>
  </si>
  <si>
    <t>MF 6YD CONT 2X WKLY</t>
  </si>
  <si>
    <t>6YD</t>
  </si>
  <si>
    <t>M6YD3W</t>
  </si>
  <si>
    <t>MF 6YD CONT 3X WKLY</t>
  </si>
  <si>
    <t>M1YDEX</t>
  </si>
  <si>
    <t>MF 1YD CONT EXTRA</t>
  </si>
  <si>
    <t>2x week</t>
  </si>
  <si>
    <t>M1.5YDEX</t>
  </si>
  <si>
    <t>MF 1.5YD CONT EXTRA</t>
  </si>
  <si>
    <t>Monthly</t>
  </si>
  <si>
    <t>M2YDEX</t>
  </si>
  <si>
    <t>MF 2YD CONT EXTRA</t>
  </si>
  <si>
    <t>Yards</t>
  </si>
  <si>
    <t>M4YDEX</t>
  </si>
  <si>
    <t>MF 4YD CONT EXTRA</t>
  </si>
  <si>
    <t>3YD</t>
  </si>
  <si>
    <t>M6YDEX</t>
  </si>
  <si>
    <t>MF 6YD CONT EXTRA</t>
  </si>
  <si>
    <t>MIMPCN</t>
  </si>
  <si>
    <t>MF 1 IMPROPER CAN W/ RECY</t>
  </si>
  <si>
    <t>MCONNECT</t>
  </si>
  <si>
    <t>MF CONNECT/RECONNECT</t>
  </si>
  <si>
    <t>MRENT90</t>
  </si>
  <si>
    <t>MF 90GAL TOTER RENT</t>
  </si>
  <si>
    <t>MROLL</t>
  </si>
  <si>
    <t>ROLLOUT CHARGE - MF</t>
  </si>
  <si>
    <t>PACKM</t>
  </si>
  <si>
    <t>CARRY-OUT MULTI FAMILY</t>
  </si>
  <si>
    <t>ADJMF</t>
  </si>
  <si>
    <t>SERVICE ADJ MULTI FAMILY</t>
  </si>
  <si>
    <t>DRVNM</t>
  </si>
  <si>
    <t>DRIVE IN - MULTIFAMILY</t>
  </si>
  <si>
    <t>MUNLOCK</t>
  </si>
  <si>
    <t>MF UNLOCK GATE OR CONT</t>
  </si>
  <si>
    <t>EXTRA-MF</t>
  </si>
  <si>
    <t>EXTRA CANS - MF</t>
  </si>
  <si>
    <t>TOTAL MULTI-FAMILY GARBAGE</t>
  </si>
  <si>
    <t>MULTI-FAMILY RECYCLING</t>
  </si>
  <si>
    <t>M2YDRECY</t>
  </si>
  <si>
    <t>MF 2YD RECYCLING</t>
  </si>
  <si>
    <t>M6YDRECY</t>
  </si>
  <si>
    <t>MF 6YD RECYCLING</t>
  </si>
  <si>
    <t>MCCRECYR</t>
  </si>
  <si>
    <t>MF CAN COUNT RECYCLE PROG</t>
  </si>
  <si>
    <t>MRECYONLY</t>
  </si>
  <si>
    <t>MF RECYCLE ONLY</t>
  </si>
  <si>
    <t>MRECYR</t>
  </si>
  <si>
    <t>RECYCLE PROGRAM W/ BINS</t>
  </si>
  <si>
    <t>MRECYIN</t>
  </si>
  <si>
    <t>MF RECYCLING INCENTIVE</t>
  </si>
  <si>
    <t>MRENT2YDRECY</t>
  </si>
  <si>
    <t>MF 2YD RECYCLE RENT</t>
  </si>
  <si>
    <t>MRENT6YDRECY</t>
  </si>
  <si>
    <t>MF 6YD RECYCLE RENT</t>
  </si>
  <si>
    <t>TOTAL MULTI-FAMILY RECYCLING</t>
  </si>
  <si>
    <t>SUBTOTAL COMMERCIAL</t>
  </si>
  <si>
    <t>DROP BOX SERVICES</t>
  </si>
  <si>
    <t>ROLLOFF</t>
  </si>
  <si>
    <t>DROP BOX HAULS/RENTAL</t>
  </si>
  <si>
    <t>ROHAUL20</t>
  </si>
  <si>
    <t>20YD ROLL OFF-HAUL</t>
  </si>
  <si>
    <t>ROHAUL20A</t>
  </si>
  <si>
    <t>ADDTL 20YD ROLL OFF HAUL</t>
  </si>
  <si>
    <t>ROHAUL20CO</t>
  </si>
  <si>
    <t>20YD CUST OWNED R/O HAUL</t>
  </si>
  <si>
    <t>ROHAUL20T</t>
  </si>
  <si>
    <t>20YD ROLL OFF TEMP HAUL</t>
  </si>
  <si>
    <t>ROHAUL25</t>
  </si>
  <si>
    <t>25YD ROLL OFF - HAUL</t>
  </si>
  <si>
    <t>ROHAUL25A</t>
  </si>
  <si>
    <t>ADDTL 25YD ROLL OFF HAUL</t>
  </si>
  <si>
    <t>ROHAUL25T</t>
  </si>
  <si>
    <t>25YD ROLL OFF TEMP HAUL</t>
  </si>
  <si>
    <t>ROHAUL30</t>
  </si>
  <si>
    <t>30YD ROLL OFF-HAUL</t>
  </si>
  <si>
    <t>ROHAUL30A</t>
  </si>
  <si>
    <t>ADDTL 30YD ROLL OFF HAUL</t>
  </si>
  <si>
    <t>ROHAUL30CO</t>
  </si>
  <si>
    <t>30YD CUST OWNED R/O HAUL</t>
  </si>
  <si>
    <t>ROHAUL30T</t>
  </si>
  <si>
    <t>30YD ROLL OFF TEMP HAUL</t>
  </si>
  <si>
    <t>ROHAUL40</t>
  </si>
  <si>
    <t>40YD ROLL OFF-HAUL</t>
  </si>
  <si>
    <t>ROHAUL40A</t>
  </si>
  <si>
    <t>ADDTL 40YD ROLL OFF HAUL</t>
  </si>
  <si>
    <t>ROHAUL40T</t>
  </si>
  <si>
    <t>40YD ROLL OFF TEMP</t>
  </si>
  <si>
    <t>CPHAUL10</t>
  </si>
  <si>
    <t>10YD COMPACTOR-HAUL</t>
  </si>
  <si>
    <t>CPHAUL15</t>
  </si>
  <si>
    <t>15YD COMPACTOR-HAUL</t>
  </si>
  <si>
    <t>CPHAUL20</t>
  </si>
  <si>
    <t>20YD COMPACTOR-HAUL</t>
  </si>
  <si>
    <t>CPHAUL25</t>
  </si>
  <si>
    <t>25YD COMPACTOR-HAUL</t>
  </si>
  <si>
    <t>CPHAUL30</t>
  </si>
  <si>
    <t>30YD COMPACTOR-HAUL</t>
  </si>
  <si>
    <t>CPHAUL35</t>
  </si>
  <si>
    <t>35YD COMPACTOR-HAUL</t>
  </si>
  <si>
    <t>CPHAUL40</t>
  </si>
  <si>
    <t>40YD COMPACTOR - HAUL</t>
  </si>
  <si>
    <t>RORENT20D</t>
  </si>
  <si>
    <t>20YD ROLL OFF-DAILY RENT</t>
  </si>
  <si>
    <t>RORENT20P</t>
  </si>
  <si>
    <t>20YD ROLL OFF-PERM RENT</t>
  </si>
  <si>
    <t>RORENT20T</t>
  </si>
  <si>
    <t>20YD ROLL OFF-TEMP RENT</t>
  </si>
  <si>
    <t>RORENT25D</t>
  </si>
  <si>
    <t>25YD ROLL OFF -DAILY RENT</t>
  </si>
  <si>
    <t>RORENT25P</t>
  </si>
  <si>
    <t>25YD ROLL OFF-PERM RENT</t>
  </si>
  <si>
    <t>RORENT25T</t>
  </si>
  <si>
    <t>25YD ROLL OFF-TEMP RENT</t>
  </si>
  <si>
    <t>RORENT30D</t>
  </si>
  <si>
    <t>30YD ROLL OFF-DAILY RENT</t>
  </si>
  <si>
    <t>RORENT30P</t>
  </si>
  <si>
    <t>30YD ROLL OFF-PERM RENT</t>
  </si>
  <si>
    <t>RORENT30T</t>
  </si>
  <si>
    <t>30YD ROLL OFF-TEMP RENT</t>
  </si>
  <si>
    <t>RORENT40P</t>
  </si>
  <si>
    <t>40YD ROLL OFF-PERM RENT</t>
  </si>
  <si>
    <t>RORENT40T</t>
  </si>
  <si>
    <t>40YD ROLL OFF-TEMP RENT</t>
  </si>
  <si>
    <t>RECYHAUL10</t>
  </si>
  <si>
    <t>RECYCLE 10 YD HAUL</t>
  </si>
  <si>
    <t>RECYHAUL12</t>
  </si>
  <si>
    <t>RECYCLE 12 YD HAUL</t>
  </si>
  <si>
    <t>RECYHAUL15</t>
  </si>
  <si>
    <t>RECYCLE 15 YD HAUL</t>
  </si>
  <si>
    <t>RECYHAUL20</t>
  </si>
  <si>
    <t>RECYCLE 20YD HAUL</t>
  </si>
  <si>
    <t>RECYHAUL25</t>
  </si>
  <si>
    <t>RECYCLE 25YD HAUL</t>
  </si>
  <si>
    <t>RECYHAUL30</t>
  </si>
  <si>
    <t>RECYCLE 30YD HAUL</t>
  </si>
  <si>
    <t>RECYHAUL40</t>
  </si>
  <si>
    <t>RECYCLE 40YD HAUL</t>
  </si>
  <si>
    <t>RECYHAUL50</t>
  </si>
  <si>
    <t>RECYCLE 50YD HAUL</t>
  </si>
  <si>
    <t>RECYHAULCOMP</t>
  </si>
  <si>
    <t>RECYCLE COMPACTOR HAUL</t>
  </si>
  <si>
    <t>RECYRENT12</t>
  </si>
  <si>
    <t>RECYCLE 12 YD BOX RENT</t>
  </si>
  <si>
    <t>RECYRENT15</t>
  </si>
  <si>
    <t>RECYCLE 15 YD BOX RENT</t>
  </si>
  <si>
    <t>RECYRENT20</t>
  </si>
  <si>
    <t>RECYCLE 20YD BOX RENT</t>
  </si>
  <si>
    <t>RECYRENT25</t>
  </si>
  <si>
    <t>RECYCLE 25YD BOX RENT</t>
  </si>
  <si>
    <t>RECYRENT30</t>
  </si>
  <si>
    <t>RECYCLE 30YD BOX RENT</t>
  </si>
  <si>
    <t>RECYRENT40</t>
  </si>
  <si>
    <t>RECYCLE 40YD BOX RENT</t>
  </si>
  <si>
    <t>RECYRENT50</t>
  </si>
  <si>
    <t>RECYCLE 50YD BOX RENT</t>
  </si>
  <si>
    <t>RECYWPROC100</t>
  </si>
  <si>
    <t>RECY 100YD HAUL &amp; PROC</t>
  </si>
  <si>
    <t>RECYWPROC20</t>
  </si>
  <si>
    <t>RECY 20YD HAUL &amp; PROC</t>
  </si>
  <si>
    <t>RECYWPROC25</t>
  </si>
  <si>
    <t>RECY 25YD HAUL &amp; PROC</t>
  </si>
  <si>
    <t>RECYWPROC30</t>
  </si>
  <si>
    <t>RECY 30YD HAUL &amp; PROC</t>
  </si>
  <si>
    <t>RECYWPROC40</t>
  </si>
  <si>
    <t>RECY 40YD HAUL &amp; PROC</t>
  </si>
  <si>
    <t>RECYWPROC50</t>
  </si>
  <si>
    <t>RECY 50YD HAUL &amp; PROC</t>
  </si>
  <si>
    <t>RECYWPROCSD</t>
  </si>
  <si>
    <t>RECY SIDE DUMP HAUL&amp;PROC</t>
  </si>
  <si>
    <t>RORHAULHR12</t>
  </si>
  <si>
    <t>RECYCLE 12 YD HRLY HAUL</t>
  </si>
  <si>
    <t>RORHAULHR15</t>
  </si>
  <si>
    <t>RECYCLE 15 YD HRLY HAUL</t>
  </si>
  <si>
    <t>RORHAULHR20</t>
  </si>
  <si>
    <t>RECYCLE 20YD HRLY HAUL</t>
  </si>
  <si>
    <t>RORHAULHR25</t>
  </si>
  <si>
    <t>RECYCLE 25YD HRLY HAUL</t>
  </si>
  <si>
    <t>RORHAULHR30</t>
  </si>
  <si>
    <t>RECYCLE 30YD HRLY HAUL</t>
  </si>
  <si>
    <t>RORHAULHR40</t>
  </si>
  <si>
    <t>RECYCLE 40YD HRLY HAUL</t>
  </si>
  <si>
    <t>RORHAULHR50</t>
  </si>
  <si>
    <t>RECYCLE 50YD HRLY HAUL</t>
  </si>
  <si>
    <t>RORHAULHRTL</t>
  </si>
  <si>
    <t>RECYCLE TRAILER HRLY HAUL</t>
  </si>
  <si>
    <t>ROSPC</t>
  </si>
  <si>
    <t>SPECIAL CHARGES</t>
  </si>
  <si>
    <t>ROTA</t>
  </si>
  <si>
    <t>TANDEM AXLE</t>
  </si>
  <si>
    <t>ROWAIT</t>
  </si>
  <si>
    <t>STANDBY CHARGE</t>
  </si>
  <si>
    <t>RTRIP-RO</t>
  </si>
  <si>
    <t>RETURN TRIP - RO</t>
  </si>
  <si>
    <t>THOUR</t>
  </si>
  <si>
    <t>LONG HAUL</t>
  </si>
  <si>
    <t>ADJRO</t>
  </si>
  <si>
    <t>SERVICE ADJ-ROLL OFF</t>
  </si>
  <si>
    <t>CPCONNECT</t>
  </si>
  <si>
    <t>COMP CONNECT/RECONNECT</t>
  </si>
  <si>
    <t>DELREC-RO</t>
  </si>
  <si>
    <t>ROLL OFF RECYCLE DELIVERY</t>
  </si>
  <si>
    <t>FERRY</t>
  </si>
  <si>
    <t>FERRY FEE</t>
  </si>
  <si>
    <t>RECYWPROCTRL</t>
  </si>
  <si>
    <t>CONT HAUL &amp; PROCESSING</t>
  </si>
  <si>
    <t>ROCLEAN</t>
  </si>
  <si>
    <t>ROLLOFF CLEANING</t>
  </si>
  <si>
    <t>RODEL</t>
  </si>
  <si>
    <t>ROLL OFF-DELIVERY</t>
  </si>
  <si>
    <t>RELO-RO</t>
  </si>
  <si>
    <t>RELOCATE - RO</t>
  </si>
  <si>
    <t>RESTART FEE-RO</t>
  </si>
  <si>
    <t>TARP-RO</t>
  </si>
  <si>
    <t>TARPING FEE - RO</t>
  </si>
  <si>
    <t>TIME-RO</t>
  </si>
  <si>
    <t>ROLL OFF TIME CHARGE</t>
  </si>
  <si>
    <t>TRACTORHRTL</t>
  </si>
  <si>
    <t>HOURLY TRACTOR TRAILER HA</t>
  </si>
  <si>
    <t>OT-RO</t>
  </si>
  <si>
    <t>OVERTIME PERIOD - RO</t>
  </si>
  <si>
    <t>ADMINRO</t>
  </si>
  <si>
    <t>ADMINISTRATIVE FEE - RO</t>
  </si>
  <si>
    <t>ROMILE</t>
  </si>
  <si>
    <t>MILEAGE</t>
  </si>
  <si>
    <t>RORELOCATE</t>
  </si>
  <si>
    <t>ROLLOFF RELOCATE</t>
  </si>
  <si>
    <t>TOTAL DROP BOX HAULS/RENTAL</t>
  </si>
  <si>
    <t>PASSTHROUGH DISPOSAL</t>
  </si>
  <si>
    <t>DISP</t>
  </si>
  <si>
    <t>DISPOSAL FEE PER TON</t>
  </si>
  <si>
    <t>DISP-ASB</t>
  </si>
  <si>
    <t xml:space="preserve">ASBESTOS DISPOSAL </t>
  </si>
  <si>
    <t>DISP-MAN</t>
  </si>
  <si>
    <t>MANURE DISPOSAL</t>
  </si>
  <si>
    <t>DISP-RECY</t>
  </si>
  <si>
    <t>RECYCLABLES PROCESSING</t>
  </si>
  <si>
    <t>DISP-WD</t>
  </si>
  <si>
    <t>WOOD PROCESSING</t>
  </si>
  <si>
    <t>TOTAL PASSTHROUGH DISPOSAL</t>
  </si>
  <si>
    <t>SUBTOTAL DROP BOX</t>
  </si>
  <si>
    <t>MEDICAL WASTE</t>
  </si>
  <si>
    <t>MD10</t>
  </si>
  <si>
    <t>10 GALLON</t>
  </si>
  <si>
    <t>MD20</t>
  </si>
  <si>
    <t>20 GALLON</t>
  </si>
  <si>
    <t>MD35</t>
  </si>
  <si>
    <t>35 GALLON</t>
  </si>
  <si>
    <t>MDDEL</t>
  </si>
  <si>
    <t>MED WASTE DELIVERY</t>
  </si>
  <si>
    <t>MDMINMO</t>
  </si>
  <si>
    <t>MINIMUM MONTHLY CHARGE</t>
  </si>
  <si>
    <t>MDTRIP</t>
  </si>
  <si>
    <t>MED WASTE MINIMUM TRIP CH</t>
  </si>
  <si>
    <t>TOTAL MEDICAL WASTE</t>
  </si>
  <si>
    <t>SUBTOTAL MEDICAL WASTE</t>
  </si>
  <si>
    <t>ACCOUNTING</t>
  </si>
  <si>
    <t>SERVICE CHARGES</t>
  </si>
  <si>
    <t>ADJ-SB</t>
  </si>
  <si>
    <t>SERVICE ADJ-SMALL BALANCE</t>
  </si>
  <si>
    <t>ADJTAX</t>
  </si>
  <si>
    <t>TAX ADJUSTMENT</t>
  </si>
  <si>
    <t>EMPLOYEE</t>
  </si>
  <si>
    <t>EMPLOYEE SERVICE</t>
  </si>
  <si>
    <t>FINCHG</t>
  </si>
  <si>
    <t>LATE FEE</t>
  </si>
  <si>
    <t>LEGAL-COM</t>
  </si>
  <si>
    <t>LEGAL/LIEN FEES</t>
  </si>
  <si>
    <t>NSF FEES</t>
  </si>
  <si>
    <t>RETURNED CHECK FEE</t>
  </si>
  <si>
    <t>PO</t>
  </si>
  <si>
    <t>PO NUMBER</t>
  </si>
  <si>
    <t>SHOPSERVICE</t>
  </si>
  <si>
    <t>MAINTENANCE SERVICES</t>
  </si>
  <si>
    <t>TOTAL SERVICE CHARGES</t>
  </si>
  <si>
    <t>SUBTOTAL SERVICE CHARGES</t>
  </si>
  <si>
    <t>Grand Total District Operations</t>
  </si>
  <si>
    <t>COMMODITY CREDIT</t>
  </si>
  <si>
    <t>RECYCLECR</t>
  </si>
  <si>
    <t>VALUE OF RECYCLABLES</t>
  </si>
  <si>
    <t>MRECYCRCANS</t>
  </si>
  <si>
    <t>MRECYCRCONT</t>
  </si>
  <si>
    <t>TOTAL COMMODITY CREDIT</t>
  </si>
  <si>
    <t>Should Have Billed</t>
  </si>
  <si>
    <t>Under Billed</t>
  </si>
  <si>
    <t>1/1/2019-3/1/2019</t>
  </si>
  <si>
    <t>Current Annual Revenue</t>
  </si>
  <si>
    <t>COVID Expenses to be Recovered</t>
  </si>
  <si>
    <t>B&amp;O Tax</t>
  </si>
  <si>
    <t>2-Year Recovery with B&amp;O and WUTC FEE</t>
  </si>
  <si>
    <t>WUTC Fee</t>
  </si>
  <si>
    <t>2- Year Rate Increase Needed</t>
  </si>
  <si>
    <t>Proposed Tariff Rate</t>
  </si>
  <si>
    <t>Proposed Annual Revenue</t>
  </si>
  <si>
    <t>Change in Annual Revenue</t>
  </si>
  <si>
    <t>Price Out Used for Annual Report 2020</t>
  </si>
  <si>
    <t>Drum</t>
  </si>
  <si>
    <t>Disconnect/reconnect</t>
  </si>
  <si>
    <t>Excess mileage</t>
  </si>
  <si>
    <t>Other Charges</t>
  </si>
  <si>
    <t>50 yard</t>
  </si>
  <si>
    <t>45 yard</t>
  </si>
  <si>
    <t>Pickups</t>
  </si>
  <si>
    <t>Permanent Service</t>
  </si>
  <si>
    <t>Item 275, Pg. 56</t>
  </si>
  <si>
    <t>40 yard</t>
  </si>
  <si>
    <t>30 yard</t>
  </si>
  <si>
    <t>25 yard</t>
  </si>
  <si>
    <t>20 yard</t>
  </si>
  <si>
    <t>15 yard</t>
  </si>
  <si>
    <t>10 yard</t>
  </si>
  <si>
    <t>Item 275, Pg. 55</t>
  </si>
  <si>
    <t>Tarping</t>
  </si>
  <si>
    <t>Item 265, Pg. 53</t>
  </si>
  <si>
    <t>Rent Per Month</t>
  </si>
  <si>
    <t>Initial Delivery</t>
  </si>
  <si>
    <t>Temporary Service</t>
  </si>
  <si>
    <t>First/Each Pickup</t>
  </si>
  <si>
    <t>Monthly Rent</t>
  </si>
  <si>
    <t>Item 260, Pg. 52</t>
  </si>
  <si>
    <t>Recycling per yard</t>
  </si>
  <si>
    <t>Initial delivery</t>
  </si>
  <si>
    <t>6 yard</t>
  </si>
  <si>
    <t>4 yard</t>
  </si>
  <si>
    <t>Each Pickup</t>
  </si>
  <si>
    <t>Special Pickup</t>
  </si>
  <si>
    <t>Item 255, Pg. 51  5:1 compaction</t>
  </si>
  <si>
    <t>3 yard</t>
  </si>
  <si>
    <t>Item 255, Pg. 50  4:1 compaction</t>
  </si>
  <si>
    <t>2 yard</t>
  </si>
  <si>
    <t>Item 255, Pg. 49  3:1 compaction</t>
  </si>
  <si>
    <t>Item 255, Pg. 48  2.25:1 compaction</t>
  </si>
  <si>
    <t>Item 255, Pg. 47  5:1 compaction</t>
  </si>
  <si>
    <t>Item 255, Pg. 46  4:1 compaction</t>
  </si>
  <si>
    <t>Item 255, Pg. 45  3:1 compaction</t>
  </si>
  <si>
    <t>Item 255, Pg. 44  2.25:1 compaction</t>
  </si>
  <si>
    <t>Lid, lock, unlock, unlatch</t>
  </si>
  <si>
    <t>Extra unit</t>
  </si>
  <si>
    <t>95 gallon cart</t>
  </si>
  <si>
    <t>65 gallon cart</t>
  </si>
  <si>
    <t>35 gallon cart</t>
  </si>
  <si>
    <t>20 gallon cart</t>
  </si>
  <si>
    <t>32 gallon can</t>
  </si>
  <si>
    <t>Minimum</t>
  </si>
  <si>
    <t>Removed</t>
  </si>
  <si>
    <t>Item 245, Pg. 42</t>
  </si>
  <si>
    <t>1.5 yard</t>
  </si>
  <si>
    <t>1 yard</t>
  </si>
  <si>
    <t>Lost Containers</t>
  </si>
  <si>
    <t>Pickup</t>
  </si>
  <si>
    <t>Item 240, Pg. 41</t>
  </si>
  <si>
    <t>Appliance with Freon</t>
  </si>
  <si>
    <t>MSW ton</t>
  </si>
  <si>
    <t>Disposal</t>
  </si>
  <si>
    <t>Item 230, Pg. 40</t>
  </si>
  <si>
    <t>Over 8 yards</t>
  </si>
  <si>
    <t>Up to 8 yards</t>
  </si>
  <si>
    <t>Pickup and Redelivery</t>
  </si>
  <si>
    <t>Per yard</t>
  </si>
  <si>
    <t>Sanitizing</t>
  </si>
  <si>
    <t>Steam Cleaning</t>
  </si>
  <si>
    <t>Washing</t>
  </si>
  <si>
    <t>Item 210, Pg. 39</t>
  </si>
  <si>
    <t>Compactor</t>
  </si>
  <si>
    <t>Drop box</t>
  </si>
  <si>
    <t>Overweight</t>
  </si>
  <si>
    <t>Item 207, Pg. 38</t>
  </si>
  <si>
    <t>25+ feet per 5 feet increment, add</t>
  </si>
  <si>
    <t>5-25 feet</t>
  </si>
  <si>
    <t>Roll-Out - Cart, per Month</t>
  </si>
  <si>
    <t>Roll-Out - Container, per Pick-Up</t>
  </si>
  <si>
    <t>Item 205, Pg. 37</t>
  </si>
  <si>
    <t>4-Axle tractor with cargo chassis</t>
  </si>
  <si>
    <t>4-Axle tractor with end dump trailer</t>
  </si>
  <si>
    <t>Dump truck with pup trailer</t>
  </si>
  <si>
    <t>Truck and Driver</t>
  </si>
  <si>
    <t>Transfer Trucks</t>
  </si>
  <si>
    <t>Drop-box truck</t>
  </si>
  <si>
    <t>Packer truck</t>
  </si>
  <si>
    <t>Non-packer truck</t>
  </si>
  <si>
    <t>Extra person</t>
  </si>
  <si>
    <t>Tandem Rear Drive Axle</t>
  </si>
  <si>
    <t>Single Rear Drive Axle</t>
  </si>
  <si>
    <t>Item 160, Pg. 35</t>
  </si>
  <si>
    <t>Rate per yard</t>
  </si>
  <si>
    <t>Loose</t>
  </si>
  <si>
    <t>Bulky</t>
  </si>
  <si>
    <t>Item 150, Pg. 34</t>
  </si>
  <si>
    <t>Special pickup</t>
  </si>
  <si>
    <t>Drums</t>
  </si>
  <si>
    <t>Item 120, Pg. 34</t>
  </si>
  <si>
    <t>No/inadequate recycling surcharge</t>
  </si>
  <si>
    <t>90 gallon cart</t>
  </si>
  <si>
    <t>Rent</t>
  </si>
  <si>
    <t>Item 105, Pg. 32</t>
  </si>
  <si>
    <t>No recycling surcharge</t>
  </si>
  <si>
    <t>With garbage</t>
  </si>
  <si>
    <t>Recycling</t>
  </si>
  <si>
    <t>Item 105, Pg. 30</t>
  </si>
  <si>
    <t>20 gallon can</t>
  </si>
  <si>
    <t>Mobile Homes</t>
  </si>
  <si>
    <t>Item 105, Pg. 29</t>
  </si>
  <si>
    <t>35 gallon cart/can</t>
  </si>
  <si>
    <t>On Call</t>
  </si>
  <si>
    <t>Yard waste</t>
  </si>
  <si>
    <t>Extra mini can, can, or bag</t>
  </si>
  <si>
    <t>Extras</t>
  </si>
  <si>
    <t>Item 105, Pg. 28</t>
  </si>
  <si>
    <t>Yard Waste</t>
  </si>
  <si>
    <t>Recycling only</t>
  </si>
  <si>
    <t xml:space="preserve">95 gallon cart </t>
  </si>
  <si>
    <t xml:space="preserve">65 gallon cart </t>
  </si>
  <si>
    <t xml:space="preserve">35 gallon cart </t>
  </si>
  <si>
    <t xml:space="preserve">20 gallon cart </t>
  </si>
  <si>
    <t>Weekly Service Without Recycling</t>
  </si>
  <si>
    <t>Weekly Service With Recycling</t>
  </si>
  <si>
    <t>Item 105, Pg. 27</t>
  </si>
  <si>
    <t>Item 100, Pg. 24</t>
  </si>
  <si>
    <t>Monthly Service With Recycling</t>
  </si>
  <si>
    <t>Item 100, Pg. 23</t>
  </si>
  <si>
    <t>Sunken/elevated</t>
  </si>
  <si>
    <t>Overheard obstruction</t>
  </si>
  <si>
    <t>Stairs (each step up or down)</t>
  </si>
  <si>
    <t>Commercial</t>
  </si>
  <si>
    <t>Residential</t>
  </si>
  <si>
    <t>Special Services</t>
  </si>
  <si>
    <t>Item 90, Pg. 22</t>
  </si>
  <si>
    <t>Primitive private road</t>
  </si>
  <si>
    <t>Private road</t>
  </si>
  <si>
    <t>Driveway</t>
  </si>
  <si>
    <t>Commercial 125+ feet</t>
  </si>
  <si>
    <t>Residential 125+ feet</t>
  </si>
  <si>
    <t>Drive-In</t>
  </si>
  <si>
    <t>Carry-Out</t>
  </si>
  <si>
    <t>Item 80, Pg. 21</t>
  </si>
  <si>
    <t>Recycling container</t>
  </si>
  <si>
    <t>Yard waste cart</t>
  </si>
  <si>
    <t>Recycling carts</t>
  </si>
  <si>
    <t>Container</t>
  </si>
  <si>
    <t>Litter receptacle</t>
  </si>
  <si>
    <t>Bale</t>
  </si>
  <si>
    <t>Can</t>
  </si>
  <si>
    <t>Return Trips</t>
  </si>
  <si>
    <t>Item 70, Pg. 19</t>
  </si>
  <si>
    <t>Charge per hour</t>
  </si>
  <si>
    <t>Overtime</t>
  </si>
  <si>
    <t>Item 60, Pg. 18</t>
  </si>
  <si>
    <t>Over size can or unit</t>
  </si>
  <si>
    <t>Item 55, Pg. 18</t>
  </si>
  <si>
    <t>Garbage cart</t>
  </si>
  <si>
    <t>Recycle cart</t>
  </si>
  <si>
    <t>Redelivery Fees</t>
  </si>
  <si>
    <t>Item 52, Pg. 17</t>
  </si>
  <si>
    <t>Restart fee</t>
  </si>
  <si>
    <t>Item 51, Pg. 17</t>
  </si>
  <si>
    <t>Returned check</t>
  </si>
  <si>
    <t>Item 50, Pg. 16</t>
  </si>
  <si>
    <t>Proposed New Rates</t>
  </si>
  <si>
    <t>Rate Increase</t>
  </si>
  <si>
    <t>Current Tariff Rates</t>
  </si>
  <si>
    <t>Resi./MF Recycling</t>
  </si>
  <si>
    <t>Garbage</t>
  </si>
  <si>
    <t>American Disposal Co., Inc. G-87</t>
  </si>
  <si>
    <t>Increase %'s</t>
  </si>
  <si>
    <t>August 1, 2021</t>
  </si>
  <si>
    <t>Mattresses (over 3)</t>
  </si>
  <si>
    <t>Damaged or unreturned cart</t>
  </si>
  <si>
    <t>cpa</t>
  </si>
  <si>
    <t>Additional charge per additional yard</t>
  </si>
  <si>
    <t>DH</t>
  </si>
  <si>
    <t>Cust</t>
  </si>
  <si>
    <t>Reg Alloc %</t>
  </si>
  <si>
    <t>Regulated Expense</t>
  </si>
  <si>
    <t>Allocator</t>
  </si>
  <si>
    <t>Vashon</t>
  </si>
  <si>
    <t>Med Waste</t>
  </si>
  <si>
    <t>YW</t>
  </si>
  <si>
    <t>Roll Off</t>
  </si>
  <si>
    <t>Packer Routes</t>
  </si>
  <si>
    <t>Residential Recycling</t>
  </si>
  <si>
    <t>MF Recycling</t>
  </si>
  <si>
    <t xml:space="preserve">Murrey's </t>
  </si>
  <si>
    <t>American</t>
  </si>
  <si>
    <t>%</t>
  </si>
  <si>
    <t>Recycle</t>
  </si>
  <si>
    <t>Commercial Recycling</t>
  </si>
  <si>
    <t>MF</t>
  </si>
  <si>
    <t>Roll off</t>
  </si>
  <si>
    <t>REGULATED CUSTOMERS</t>
  </si>
  <si>
    <t>NON REG CUSTOMERS</t>
  </si>
  <si>
    <t>CUSTOMERS</t>
  </si>
  <si>
    <t>Tacoma Hauling</t>
  </si>
  <si>
    <t>Time Study Summary</t>
  </si>
  <si>
    <t>October 2018</t>
  </si>
  <si>
    <t>Sum of Data</t>
  </si>
  <si>
    <t>Allocate Delivery &amp; Tranfer Yard</t>
  </si>
  <si>
    <t>Pro Froma Input</t>
  </si>
  <si>
    <t>Route Hours:</t>
  </si>
  <si>
    <t>Murrey's Disposal</t>
  </si>
  <si>
    <t>American Disposal</t>
  </si>
  <si>
    <t>Vashon Disposal</t>
  </si>
  <si>
    <t>DM Cities</t>
  </si>
  <si>
    <t>DM Transfer</t>
  </si>
  <si>
    <t>D.M. Recycling</t>
  </si>
  <si>
    <t>APS</t>
  </si>
  <si>
    <t>DM - all</t>
  </si>
  <si>
    <t>Packer</t>
  </si>
  <si>
    <t>Roll-off Routes</t>
  </si>
  <si>
    <t>Resi-Recycl Rts</t>
  </si>
  <si>
    <t>YW Routes</t>
  </si>
  <si>
    <t>Fife Transfer</t>
  </si>
  <si>
    <t>MF Recycling Stations</t>
  </si>
  <si>
    <t>Comm Recycle</t>
  </si>
  <si>
    <t>Glass Boxes</t>
  </si>
  <si>
    <t>Delivery / Misses/ Tote Washing</t>
  </si>
  <si>
    <t>Allocated across LOBs that use delivery drivers.</t>
  </si>
  <si>
    <t>Relief - change allocation</t>
  </si>
  <si>
    <t>Allocated across all LOBs</t>
  </si>
  <si>
    <t>Helper</t>
  </si>
  <si>
    <t>Transfer - Fife Garbage</t>
  </si>
  <si>
    <t>Allocated on Reg/Non-Reg Garbage Tons</t>
  </si>
  <si>
    <t>Transfer - Fife Recycle</t>
  </si>
  <si>
    <t>Allocated on Reg/Non-Reg Recycle Tons</t>
  </si>
  <si>
    <t>Transfer - Non fife</t>
  </si>
  <si>
    <t>Transfer Yard</t>
  </si>
  <si>
    <t>Allocated on Reg/Non-Reg Garbage &amp; Recycling Tons</t>
  </si>
  <si>
    <t>SOURCE:</t>
  </si>
  <si>
    <t>\\westfile01\Distshares\Western Region\WUTC\WIP Files\2111 Murrey's\2016\General Rate Filing</t>
  </si>
  <si>
    <t>Percentage of Total Hours:</t>
  </si>
  <si>
    <t>PRIOR YEAR</t>
  </si>
  <si>
    <t>DIFFERENCE</t>
  </si>
  <si>
    <t>2111 Reg %</t>
  </si>
  <si>
    <t>Customer Count Summary</t>
  </si>
  <si>
    <t>Oct. 1, 2017 - Sept. 30, 2018</t>
  </si>
  <si>
    <t>From TG-180955</t>
  </si>
  <si>
    <t>Murrey's</t>
  </si>
  <si>
    <t>Total Reg.</t>
  </si>
  <si>
    <t>Bonney Lake</t>
  </si>
  <si>
    <t>Buckley</t>
  </si>
  <si>
    <t>Carbonado</t>
  </si>
  <si>
    <t>Milton</t>
  </si>
  <si>
    <t>Orting</t>
  </si>
  <si>
    <t>Pierce</t>
  </si>
  <si>
    <t>Puyallup</t>
  </si>
  <si>
    <t>S. Prairie</t>
  </si>
  <si>
    <t>Sumner</t>
  </si>
  <si>
    <t>Total Non-Reg.</t>
  </si>
  <si>
    <t>Total Residential</t>
  </si>
  <si>
    <t>MF Garbage</t>
  </si>
  <si>
    <t>MF Recycle</t>
  </si>
  <si>
    <t>Total Commercial</t>
  </si>
  <si>
    <t>Hauls/Rent</t>
  </si>
  <si>
    <t>Total Roll Off</t>
  </si>
  <si>
    <t>Total Med. Waste</t>
  </si>
  <si>
    <t>Total Svc. Charges</t>
  </si>
  <si>
    <t>Murrey's Reg %</t>
  </si>
  <si>
    <t>Customer Counts</t>
  </si>
  <si>
    <t>MSW</t>
  </si>
  <si>
    <t>Resi</t>
  </si>
  <si>
    <t>Comm</t>
  </si>
  <si>
    <t>Multi-Fam</t>
  </si>
  <si>
    <t>RO</t>
  </si>
  <si>
    <t xml:space="preserve">Total to be notified </t>
  </si>
  <si>
    <t>Price per letter</t>
  </si>
  <si>
    <t>Cost of notification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</si>
</sst>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[h]:mm"/>
    <numFmt numFmtId="169" formatCode="0.0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12"/>
      <name val="Helv"/>
    </font>
    <font>
      <sz val="12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color indexed="30"/>
      <name val="Arial"/>
      <family val="2"/>
    </font>
    <font>
      <b/>
      <i/>
      <sz val="11"/>
      <color indexed="60"/>
      <name val="Arial"/>
      <family val="2"/>
    </font>
    <font>
      <b/>
      <sz val="11"/>
      <color indexed="60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sz val="11"/>
      <color indexed="50"/>
      <name val="Calibri"/>
      <family val="2"/>
      <scheme val="minor"/>
    </font>
    <font>
      <sz val="11"/>
      <color indexed="8"/>
      <name val="Arial"/>
      <family val="2"/>
    </font>
    <font>
      <sz val="9"/>
      <color indexed="81"/>
      <name val="Tahoma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2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theme="10"/>
      <name val="Arial"/>
      <family val="2"/>
    </font>
    <font>
      <i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scheme val="minor"/>
    </font>
    <font>
      <b/>
      <sz val="11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/>
    <xf numFmtId="43" fontId="34" fillId="0" borderId="0" applyFont="0" applyFill="0" applyBorder="0" applyAlignment="0" applyProtection="0"/>
    <xf numFmtId="0" fontId="34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43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38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right" vertical="top"/>
    </xf>
    <xf numFmtId="0" fontId="11" fillId="0" borderId="0" xfId="0" applyFont="1"/>
    <xf numFmtId="0" fontId="11" fillId="2" borderId="1" xfId="0" applyFont="1" applyFill="1" applyBorder="1" applyAlignment="1">
      <alignment horizontal="centerContinuous"/>
    </xf>
    <xf numFmtId="0" fontId="0" fillId="2" borderId="1" xfId="0" applyFill="1" applyBorder="1" applyAlignment="1">
      <alignment horizontal="centerContinuous"/>
    </xf>
    <xf numFmtId="0" fontId="12" fillId="0" borderId="0" xfId="0" applyFont="1"/>
    <xf numFmtId="0" fontId="11" fillId="0" borderId="0" xfId="0" applyFont="1" applyAlignment="1">
      <alignment horizontal="right"/>
    </xf>
    <xf numFmtId="0" fontId="11" fillId="3" borderId="0" xfId="0" applyFont="1" applyFill="1"/>
    <xf numFmtId="0" fontId="0" fillId="3" borderId="0" xfId="0" applyFill="1"/>
    <xf numFmtId="40" fontId="11" fillId="3" borderId="0" xfId="1" applyNumberFormat="1" applyFont="1" applyFill="1"/>
    <xf numFmtId="38" fontId="11" fillId="3" borderId="0" xfId="1" applyNumberFormat="1" applyFont="1" applyFill="1"/>
    <xf numFmtId="0" fontId="12" fillId="2" borderId="2" xfId="0" applyFont="1" applyFill="1" applyBorder="1" applyAlignment="1">
      <alignment horizontal="centerContinuous"/>
    </xf>
    <xf numFmtId="0" fontId="12" fillId="2" borderId="3" xfId="0" applyFont="1" applyFill="1" applyBorder="1" applyAlignment="1">
      <alignment horizontal="centerContinuous"/>
    </xf>
    <xf numFmtId="0" fontId="12" fillId="2" borderId="4" xfId="0" applyFont="1" applyFill="1" applyBorder="1" applyAlignment="1">
      <alignment horizontal="centerContinuous"/>
    </xf>
    <xf numFmtId="40" fontId="11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0" fontId="8" fillId="0" borderId="0" xfId="1" applyNumberFormat="1"/>
    <xf numFmtId="0" fontId="0" fillId="0" borderId="6" xfId="0" applyBorder="1"/>
    <xf numFmtId="40" fontId="8" fillId="0" borderId="6" xfId="1" applyNumberFormat="1" applyBorder="1"/>
    <xf numFmtId="0" fontId="0" fillId="0" borderId="6" xfId="0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 indent="1"/>
    </xf>
    <xf numFmtId="0" fontId="17" fillId="0" borderId="0" xfId="0" applyFont="1"/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4" fillId="0" borderId="0" xfId="0" applyFont="1"/>
    <xf numFmtId="0" fontId="16" fillId="0" borderId="0" xfId="0" applyFont="1"/>
    <xf numFmtId="14" fontId="0" fillId="0" borderId="0" xfId="0" applyNumberFormat="1"/>
    <xf numFmtId="0" fontId="12" fillId="0" borderId="0" xfId="0" applyFont="1" applyAlignment="1">
      <alignment horizontal="right"/>
    </xf>
    <xf numFmtId="49" fontId="19" fillId="0" borderId="0" xfId="0" applyNumberFormat="1" applyFont="1" applyAlignment="1">
      <alignment horizontal="left"/>
    </xf>
    <xf numFmtId="39" fontId="19" fillId="0" borderId="0" xfId="1" applyNumberFormat="1" applyFont="1" applyAlignment="1">
      <alignment horizontal="left"/>
    </xf>
    <xf numFmtId="0" fontId="19" fillId="0" borderId="0" xfId="0" applyFont="1"/>
    <xf numFmtId="164" fontId="0" fillId="0" borderId="0" xfId="0" applyNumberFormat="1"/>
    <xf numFmtId="0" fontId="20" fillId="0" borderId="0" xfId="0" applyFont="1"/>
    <xf numFmtId="0" fontId="21" fillId="0" borderId="0" xfId="0" applyFont="1"/>
    <xf numFmtId="0" fontId="0" fillId="0" borderId="0" xfId="0" applyNumberForma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4" borderId="1" xfId="0" applyFont="1" applyFill="1" applyBorder="1" applyAlignment="1">
      <alignment horizontal="centerContinuous"/>
    </xf>
    <xf numFmtId="0" fontId="0" fillId="4" borderId="0" xfId="0" applyFill="1"/>
    <xf numFmtId="0" fontId="8" fillId="0" borderId="0" xfId="0" applyFont="1"/>
    <xf numFmtId="0" fontId="0" fillId="0" borderId="0" xfId="0" applyBorder="1"/>
    <xf numFmtId="0" fontId="0" fillId="0" borderId="0" xfId="0" applyAlignment="1">
      <alignment vertical="top"/>
    </xf>
    <xf numFmtId="0" fontId="0" fillId="3" borderId="5" xfId="0" applyFill="1" applyBorder="1" applyAlignment="1">
      <alignment vertical="top"/>
    </xf>
    <xf numFmtId="0" fontId="0" fillId="3" borderId="5" xfId="0" applyFill="1" applyBorder="1" applyAlignment="1">
      <alignment horizontal="center" vertical="top"/>
    </xf>
    <xf numFmtId="0" fontId="13" fillId="3" borderId="5" xfId="0" applyFont="1" applyFill="1" applyBorder="1" applyAlignment="1">
      <alignment vertical="top"/>
    </xf>
    <xf numFmtId="164" fontId="0" fillId="3" borderId="5" xfId="0" applyNumberFormat="1" applyFill="1" applyBorder="1" applyAlignment="1">
      <alignment vertical="top"/>
    </xf>
    <xf numFmtId="0" fontId="8" fillId="3" borderId="7" xfId="0" applyFont="1" applyFill="1" applyBorder="1" applyAlignment="1">
      <alignment horizontal="center" vertical="top"/>
    </xf>
    <xf numFmtId="0" fontId="11" fillId="3" borderId="5" xfId="0" applyFont="1" applyFill="1" applyBorder="1" applyAlignment="1">
      <alignment horizontal="center" vertical="top" wrapText="1"/>
    </xf>
    <xf numFmtId="40" fontId="11" fillId="0" borderId="0" xfId="0" applyNumberFormat="1" applyFont="1" applyAlignment="1">
      <alignment horizontal="center"/>
    </xf>
    <xf numFmtId="0" fontId="0" fillId="3" borderId="5" xfId="0" applyFill="1" applyBorder="1" applyAlignment="1">
      <alignment horizontal="left" vertical="top" wrapText="1"/>
    </xf>
    <xf numFmtId="0" fontId="0" fillId="0" borderId="0" xfId="0" pivotButton="1"/>
    <xf numFmtId="43" fontId="0" fillId="0" borderId="0" xfId="0" applyNumberFormat="1"/>
    <xf numFmtId="43" fontId="24" fillId="0" borderId="8" xfId="0" applyNumberFormat="1" applyFont="1" applyBorder="1"/>
    <xf numFmtId="43" fontId="24" fillId="5" borderId="9" xfId="0" applyNumberFormat="1" applyFont="1" applyFill="1" applyBorder="1"/>
    <xf numFmtId="0" fontId="11" fillId="6" borderId="0" xfId="0" applyFont="1" applyFill="1" applyAlignment="1">
      <alignment horizontal="center"/>
    </xf>
    <xf numFmtId="43" fontId="24" fillId="7" borderId="8" xfId="0" applyNumberFormat="1" applyFont="1" applyFill="1" applyBorder="1"/>
    <xf numFmtId="0" fontId="30" fillId="0" borderId="0" xfId="9" applyFont="1" applyFill="1"/>
    <xf numFmtId="0" fontId="31" fillId="0" borderId="0" xfId="9" applyFont="1" applyFill="1"/>
    <xf numFmtId="0" fontId="31" fillId="0" borderId="0" xfId="9" applyFont="1"/>
    <xf numFmtId="0" fontId="30" fillId="8" borderId="0" xfId="9" applyFont="1" applyFill="1"/>
    <xf numFmtId="0" fontId="31" fillId="8" borderId="0" xfId="9" applyFont="1" applyFill="1"/>
    <xf numFmtId="44" fontId="31" fillId="0" borderId="0" xfId="9" applyNumberFormat="1" applyFont="1" applyFill="1"/>
    <xf numFmtId="0" fontId="7" fillId="0" borderId="0" xfId="9" applyFont="1"/>
    <xf numFmtId="0" fontId="26" fillId="0" borderId="0" xfId="9" applyFont="1" applyAlignment="1">
      <alignment horizontal="right"/>
    </xf>
    <xf numFmtId="0" fontId="30" fillId="0" borderId="0" xfId="9" applyFont="1" applyFill="1" applyAlignment="1">
      <alignment horizontal="center" wrapText="1"/>
    </xf>
    <xf numFmtId="0" fontId="31" fillId="0" borderId="0" xfId="9" applyFont="1" applyFill="1" applyAlignment="1"/>
    <xf numFmtId="0" fontId="30" fillId="9" borderId="0" xfId="9" applyFont="1" applyFill="1" applyAlignment="1"/>
    <xf numFmtId="0" fontId="30" fillId="0" borderId="0" xfId="9" applyFont="1" applyFill="1" applyAlignment="1">
      <alignment horizontal="center"/>
    </xf>
    <xf numFmtId="17" fontId="30" fillId="0" borderId="0" xfId="9" applyNumberFormat="1" applyFont="1" applyFill="1" applyAlignment="1">
      <alignment horizontal="center" wrapText="1"/>
    </xf>
    <xf numFmtId="0" fontId="30" fillId="0" borderId="0" xfId="9" applyFont="1" applyAlignment="1">
      <alignment horizontal="center" wrapText="1"/>
    </xf>
    <xf numFmtId="0" fontId="31" fillId="10" borderId="0" xfId="9" applyFont="1" applyFill="1"/>
    <xf numFmtId="0" fontId="32" fillId="0" borderId="0" xfId="9" applyFont="1" applyFill="1" applyAlignment="1">
      <alignment horizontal="left"/>
    </xf>
    <xf numFmtId="0" fontId="32" fillId="0" borderId="0" xfId="9" applyFont="1" applyFill="1" applyAlignment="1">
      <alignment horizontal="center"/>
    </xf>
    <xf numFmtId="0" fontId="33" fillId="0" borderId="0" xfId="9" applyFont="1" applyFill="1" applyAlignment="1">
      <alignment horizontal="center"/>
    </xf>
    <xf numFmtId="0" fontId="33" fillId="10" borderId="0" xfId="9" applyFont="1" applyFill="1" applyAlignment="1">
      <alignment horizontal="center"/>
    </xf>
    <xf numFmtId="0" fontId="30" fillId="0" borderId="0" xfId="9" applyFont="1" applyFill="1" applyAlignment="1">
      <alignment horizontal="left"/>
    </xf>
    <xf numFmtId="0" fontId="31" fillId="0" borderId="0" xfId="9" applyFont="1" applyFill="1" applyBorder="1"/>
    <xf numFmtId="43" fontId="31" fillId="0" borderId="0" xfId="10" applyFont="1" applyFill="1"/>
    <xf numFmtId="165" fontId="31" fillId="0" borderId="0" xfId="10" applyNumberFormat="1" applyFont="1" applyFill="1"/>
    <xf numFmtId="165" fontId="31" fillId="0" borderId="0" xfId="10" applyNumberFormat="1" applyFont="1"/>
    <xf numFmtId="0" fontId="30" fillId="0" borderId="0" xfId="9" applyFont="1" applyFill="1" applyBorder="1" applyAlignment="1">
      <alignment horizontal="right"/>
    </xf>
    <xf numFmtId="165" fontId="31" fillId="0" borderId="3" xfId="10" applyNumberFormat="1" applyFont="1" applyFill="1" applyBorder="1"/>
    <xf numFmtId="165" fontId="31" fillId="0" borderId="0" xfId="10" applyNumberFormat="1" applyFont="1" applyFill="1" applyBorder="1"/>
    <xf numFmtId="0" fontId="30" fillId="0" borderId="0" xfId="9" applyFont="1" applyFill="1" applyBorder="1"/>
    <xf numFmtId="165" fontId="30" fillId="0" borderId="0" xfId="10" applyNumberFormat="1" applyFont="1" applyFill="1"/>
    <xf numFmtId="0" fontId="7" fillId="0" borderId="0" xfId="9" applyFont="1" applyFill="1" applyAlignment="1">
      <alignment horizontal="left" indent="1"/>
    </xf>
    <xf numFmtId="165" fontId="31" fillId="0" borderId="0" xfId="9" applyNumberFormat="1" applyFont="1" applyFill="1"/>
    <xf numFmtId="165" fontId="31" fillId="0" borderId="0" xfId="9" applyNumberFormat="1" applyFont="1"/>
    <xf numFmtId="165" fontId="30" fillId="0" borderId="3" xfId="9" applyNumberFormat="1" applyFont="1" applyFill="1" applyBorder="1"/>
    <xf numFmtId="165" fontId="30" fillId="0" borderId="0" xfId="9" applyNumberFormat="1" applyFont="1" applyFill="1" applyAlignment="1">
      <alignment horizontal="right"/>
    </xf>
    <xf numFmtId="165" fontId="30" fillId="0" borderId="16" xfId="9" applyNumberFormat="1" applyFont="1" applyFill="1" applyBorder="1"/>
    <xf numFmtId="165" fontId="30" fillId="0" borderId="0" xfId="9" applyNumberFormat="1" applyFont="1" applyFill="1" applyBorder="1"/>
    <xf numFmtId="0" fontId="31" fillId="0" borderId="0" xfId="10" applyNumberFormat="1" applyFont="1" applyFill="1" applyAlignment="1">
      <alignment horizontal="right"/>
    </xf>
    <xf numFmtId="165" fontId="31" fillId="0" borderId="0" xfId="9" applyNumberFormat="1" applyFont="1" applyFill="1" applyAlignment="1">
      <alignment horizontal="right"/>
    </xf>
    <xf numFmtId="0" fontId="31" fillId="0" borderId="0" xfId="9" applyFont="1" applyFill="1" applyAlignment="1">
      <alignment horizontal="right"/>
    </xf>
    <xf numFmtId="165" fontId="31" fillId="0" borderId="6" xfId="9" applyNumberFormat="1" applyFont="1" applyFill="1" applyBorder="1" applyAlignment="1">
      <alignment horizontal="right"/>
    </xf>
    <xf numFmtId="43" fontId="31" fillId="0" borderId="0" xfId="9" applyNumberFormat="1" applyFont="1" applyFill="1"/>
    <xf numFmtId="0" fontId="7" fillId="0" borderId="0" xfId="9" applyFont="1" applyAlignment="1">
      <alignment horizontal="right"/>
    </xf>
    <xf numFmtId="0" fontId="36" fillId="0" borderId="0" xfId="11" applyFont="1"/>
    <xf numFmtId="0" fontId="37" fillId="0" borderId="0" xfId="11" applyFont="1" applyAlignment="1">
      <alignment horizontal="right"/>
    </xf>
    <xf numFmtId="166" fontId="37" fillId="0" borderId="0" xfId="11" applyNumberFormat="1" applyFont="1"/>
    <xf numFmtId="44" fontId="37" fillId="0" borderId="0" xfId="8" applyNumberFormat="1" applyFont="1"/>
    <xf numFmtId="10" fontId="36" fillId="0" borderId="0" xfId="8" applyNumberFormat="1" applyFont="1"/>
    <xf numFmtId="44" fontId="37" fillId="0" borderId="0" xfId="11" applyNumberFormat="1" applyFont="1"/>
    <xf numFmtId="44" fontId="36" fillId="0" borderId="0" xfId="11" applyNumberFormat="1" applyFont="1"/>
    <xf numFmtId="10" fontId="37" fillId="0" borderId="0" xfId="8" applyNumberFormat="1" applyFont="1"/>
    <xf numFmtId="0" fontId="37" fillId="11" borderId="0" xfId="11" applyFont="1" applyFill="1" applyAlignment="1">
      <alignment horizontal="center" wrapText="1"/>
    </xf>
    <xf numFmtId="44" fontId="36" fillId="0" borderId="0" xfId="7" applyFont="1" applyFill="1"/>
    <xf numFmtId="10" fontId="36" fillId="0" borderId="0" xfId="8" applyNumberFormat="1" applyFont="1" applyFill="1"/>
    <xf numFmtId="0" fontId="36" fillId="0" borderId="0" xfId="11" applyFont="1" applyFill="1"/>
    <xf numFmtId="0" fontId="30" fillId="9" borderId="0" xfId="9" applyFont="1" applyFill="1" applyAlignment="1">
      <alignment horizontal="center"/>
    </xf>
    <xf numFmtId="165" fontId="7" fillId="0" borderId="0" xfId="9" applyNumberFormat="1" applyFont="1" applyFill="1"/>
    <xf numFmtId="0" fontId="7" fillId="0" borderId="0" xfId="9" applyFont="1" applyFill="1"/>
    <xf numFmtId="43" fontId="31" fillId="0" borderId="3" xfId="9" applyNumberFormat="1" applyFont="1" applyFill="1" applyBorder="1"/>
    <xf numFmtId="0" fontId="27" fillId="0" borderId="0" xfId="9" applyFont="1" applyFill="1" applyAlignment="1">
      <alignment horizontal="right"/>
    </xf>
    <xf numFmtId="43" fontId="31" fillId="0" borderId="16" xfId="9" applyNumberFormat="1" applyFont="1" applyFill="1" applyBorder="1"/>
    <xf numFmtId="165" fontId="30" fillId="0" borderId="6" xfId="10" applyNumberFormat="1" applyFont="1" applyFill="1" applyBorder="1"/>
    <xf numFmtId="165" fontId="30" fillId="0" borderId="0" xfId="10" applyNumberFormat="1" applyFont="1" applyFill="1" applyBorder="1"/>
    <xf numFmtId="43" fontId="31" fillId="0" borderId="10" xfId="10" applyFont="1" applyFill="1" applyBorder="1"/>
    <xf numFmtId="43" fontId="31" fillId="0" borderId="11" xfId="10" applyFont="1" applyFill="1" applyBorder="1"/>
    <xf numFmtId="0" fontId="30" fillId="0" borderId="12" xfId="9" applyFont="1" applyFill="1" applyBorder="1" applyAlignment="1"/>
    <xf numFmtId="43" fontId="31" fillId="0" borderId="13" xfId="10" applyFont="1" applyFill="1" applyBorder="1"/>
    <xf numFmtId="0" fontId="31" fillId="0" borderId="10" xfId="9" applyFont="1" applyFill="1" applyBorder="1"/>
    <xf numFmtId="0" fontId="31" fillId="0" borderId="11" xfId="9" applyFont="1" applyFill="1" applyBorder="1"/>
    <xf numFmtId="0" fontId="32" fillId="0" borderId="10" xfId="9" applyFont="1" applyFill="1" applyBorder="1" applyAlignment="1">
      <alignment horizontal="center"/>
    </xf>
    <xf numFmtId="0" fontId="32" fillId="0" borderId="11" xfId="9" applyFont="1" applyFill="1" applyBorder="1" applyAlignment="1">
      <alignment horizontal="center"/>
    </xf>
    <xf numFmtId="43" fontId="31" fillId="0" borderId="14" xfId="10" applyFont="1" applyFill="1" applyBorder="1"/>
    <xf numFmtId="43" fontId="31" fillId="0" borderId="15" xfId="10" applyFont="1" applyFill="1" applyBorder="1"/>
    <xf numFmtId="165" fontId="29" fillId="0" borderId="0" xfId="9" applyNumberFormat="1" applyFill="1"/>
    <xf numFmtId="43" fontId="31" fillId="0" borderId="17" xfId="9" applyNumberFormat="1" applyFont="1" applyFill="1" applyBorder="1"/>
    <xf numFmtId="43" fontId="30" fillId="0" borderId="16" xfId="9" applyNumberFormat="1" applyFont="1" applyFill="1" applyBorder="1"/>
    <xf numFmtId="43" fontId="36" fillId="0" borderId="0" xfId="11" applyNumberFormat="1" applyFont="1" applyFill="1"/>
    <xf numFmtId="43" fontId="36" fillId="0" borderId="0" xfId="1" applyFont="1" applyFill="1"/>
    <xf numFmtId="0" fontId="30" fillId="12" borderId="0" xfId="9" applyFont="1" applyFill="1"/>
    <xf numFmtId="0" fontId="7" fillId="0" borderId="0" xfId="12"/>
    <xf numFmtId="0" fontId="7" fillId="0" borderId="0" xfId="12" applyFont="1"/>
    <xf numFmtId="44" fontId="0" fillId="0" borderId="0" xfId="14" applyFont="1"/>
    <xf numFmtId="0" fontId="7" fillId="0" borderId="0" xfId="12" applyFont="1" applyAlignment="1">
      <alignment horizontal="left" indent="2"/>
    </xf>
    <xf numFmtId="0" fontId="27" fillId="0" borderId="0" xfId="12" applyFont="1" applyAlignment="1">
      <alignment horizontal="left" indent="1"/>
    </xf>
    <xf numFmtId="0" fontId="7" fillId="0" borderId="0" xfId="12" applyFont="1" applyAlignment="1">
      <alignment horizontal="left" indent="3"/>
    </xf>
    <xf numFmtId="0" fontId="27" fillId="0" borderId="0" xfId="12" applyFont="1" applyAlignment="1">
      <alignment horizontal="left" indent="2"/>
    </xf>
    <xf numFmtId="44" fontId="27" fillId="9" borderId="0" xfId="14" applyFont="1" applyFill="1"/>
    <xf numFmtId="0" fontId="27" fillId="9" borderId="0" xfId="12" applyFont="1" applyFill="1"/>
    <xf numFmtId="0" fontId="7" fillId="0" borderId="0" xfId="12" applyAlignment="1">
      <alignment horizontal="left" indent="2"/>
    </xf>
    <xf numFmtId="0" fontId="7" fillId="0" borderId="0" xfId="12" applyFont="1" applyAlignment="1">
      <alignment horizontal="left" indent="1"/>
    </xf>
    <xf numFmtId="0" fontId="28" fillId="0" borderId="0" xfId="12" applyFont="1" applyFill="1" applyBorder="1"/>
    <xf numFmtId="44" fontId="0" fillId="0" borderId="0" xfId="14" applyFont="1" applyFill="1" applyBorder="1"/>
    <xf numFmtId="0" fontId="24" fillId="0" borderId="0" xfId="12" applyFont="1" applyBorder="1"/>
    <xf numFmtId="44" fontId="7" fillId="0" borderId="0" xfId="12" applyNumberFormat="1" applyFont="1"/>
    <xf numFmtId="43" fontId="7" fillId="0" borderId="0" xfId="12" applyNumberFormat="1" applyFont="1"/>
    <xf numFmtId="0" fontId="7" fillId="0" borderId="0" xfId="12" applyFont="1" applyFill="1"/>
    <xf numFmtId="0" fontId="7" fillId="0" borderId="0" xfId="12" applyFont="1" applyAlignment="1">
      <alignment wrapText="1"/>
    </xf>
    <xf numFmtId="0" fontId="27" fillId="13" borderId="18" xfId="12" applyFont="1" applyFill="1" applyBorder="1" applyAlignment="1">
      <alignment horizontal="center" vertical="center" wrapText="1"/>
    </xf>
    <xf numFmtId="0" fontId="27" fillId="13" borderId="19" xfId="12" applyFont="1" applyFill="1" applyBorder="1" applyAlignment="1">
      <alignment horizontal="center" vertical="center" wrapText="1"/>
    </xf>
    <xf numFmtId="0" fontId="7" fillId="13" borderId="20" xfId="12" applyFont="1" applyFill="1" applyBorder="1" applyAlignment="1">
      <alignment wrapText="1"/>
    </xf>
    <xf numFmtId="167" fontId="27" fillId="0" borderId="0" xfId="15" applyNumberFormat="1" applyFont="1" applyAlignment="1">
      <alignment horizontal="center"/>
    </xf>
    <xf numFmtId="0" fontId="27" fillId="0" borderId="0" xfId="12" applyFont="1"/>
    <xf numFmtId="0" fontId="27" fillId="0" borderId="0" xfId="12" applyFont="1" applyAlignment="1">
      <alignment horizontal="right"/>
    </xf>
    <xf numFmtId="15" fontId="27" fillId="0" borderId="0" xfId="12" quotePrefix="1" applyNumberFormat="1" applyFont="1"/>
    <xf numFmtId="10" fontId="27" fillId="0" borderId="0" xfId="15" applyNumberFormat="1" applyFont="1" applyFill="1" applyAlignment="1">
      <alignment horizontal="center"/>
    </xf>
    <xf numFmtId="10" fontId="27" fillId="0" borderId="0" xfId="15" applyNumberFormat="1" applyFont="1" applyAlignment="1">
      <alignment horizontal="center"/>
    </xf>
    <xf numFmtId="0" fontId="6" fillId="0" borderId="0" xfId="12" applyFont="1" applyAlignment="1">
      <alignment horizontal="left" indent="2"/>
    </xf>
    <xf numFmtId="44" fontId="0" fillId="0" borderId="0" xfId="14" applyFont="1" applyFill="1"/>
    <xf numFmtId="0" fontId="5" fillId="0" borderId="0" xfId="12" applyFont="1" applyAlignment="1">
      <alignment horizontal="left" indent="2"/>
    </xf>
    <xf numFmtId="0" fontId="7" fillId="0" borderId="0" xfId="12" applyFont="1" applyFill="1" applyAlignment="1">
      <alignment horizontal="left" indent="2"/>
    </xf>
    <xf numFmtId="0" fontId="27" fillId="0" borderId="0" xfId="12" applyFont="1" applyFill="1" applyAlignment="1">
      <alignment horizontal="left" indent="1"/>
    </xf>
    <xf numFmtId="0" fontId="7" fillId="0" borderId="0" xfId="12" applyFont="1" applyFill="1" applyAlignment="1">
      <alignment horizontal="left" indent="3"/>
    </xf>
    <xf numFmtId="0" fontId="4" fillId="0" borderId="0" xfId="12" applyFont="1" applyFill="1" applyAlignment="1">
      <alignment horizontal="left" indent="2"/>
    </xf>
    <xf numFmtId="0" fontId="3" fillId="0" borderId="0" xfId="12" applyFont="1" applyAlignment="1">
      <alignment horizontal="left" indent="1"/>
    </xf>
    <xf numFmtId="0" fontId="7" fillId="0" borderId="0" xfId="12" applyFill="1"/>
    <xf numFmtId="0" fontId="8" fillId="0" borderId="0" xfId="16"/>
    <xf numFmtId="0" fontId="8" fillId="0" borderId="1" xfId="16" applyBorder="1"/>
    <xf numFmtId="0" fontId="11" fillId="0" borderId="1" xfId="16" applyFont="1" applyBorder="1" applyAlignment="1">
      <alignment horizontal="center" wrapText="1"/>
    </xf>
    <xf numFmtId="0" fontId="8" fillId="0" borderId="0" xfId="16" applyAlignment="1">
      <alignment horizontal="right"/>
    </xf>
    <xf numFmtId="44" fontId="11" fillId="0" borderId="0" xfId="7" applyFont="1"/>
    <xf numFmtId="9" fontId="8" fillId="0" borderId="0" xfId="8" applyFont="1" applyAlignment="1">
      <alignment horizontal="center"/>
    </xf>
    <xf numFmtId="44" fontId="8" fillId="0" borderId="0" xfId="16" applyNumberFormat="1"/>
    <xf numFmtId="44" fontId="11" fillId="0" borderId="1" xfId="7" applyFont="1" applyBorder="1"/>
    <xf numFmtId="44" fontId="8" fillId="0" borderId="1" xfId="7" applyFont="1" applyBorder="1"/>
    <xf numFmtId="44" fontId="11" fillId="0" borderId="0" xfId="16" applyNumberFormat="1" applyFont="1"/>
    <xf numFmtId="0" fontId="11" fillId="6" borderId="0" xfId="0" applyFont="1" applyFill="1"/>
    <xf numFmtId="0" fontId="44" fillId="0" borderId="0" xfId="24" applyFont="1" applyFill="1" applyBorder="1"/>
    <xf numFmtId="0" fontId="45" fillId="0" borderId="0" xfId="24" applyFont="1" applyFill="1" applyBorder="1" applyAlignment="1">
      <alignment horizontal="left" wrapText="1"/>
    </xf>
    <xf numFmtId="0" fontId="45" fillId="0" borderId="0" xfId="24" applyFont="1" applyFill="1" applyBorder="1"/>
    <xf numFmtId="0" fontId="46" fillId="0" borderId="0" xfId="24" applyFont="1" applyFill="1" applyBorder="1"/>
    <xf numFmtId="0" fontId="47" fillId="0" borderId="0" xfId="24" applyFont="1" applyFill="1" applyBorder="1" applyAlignment="1">
      <alignment horizontal="left" wrapText="1"/>
    </xf>
    <xf numFmtId="0" fontId="47" fillId="0" borderId="0" xfId="24" applyFont="1" applyFill="1" applyBorder="1"/>
    <xf numFmtId="0" fontId="48" fillId="0" borderId="0" xfId="24" applyFont="1" applyFill="1" applyBorder="1"/>
    <xf numFmtId="49" fontId="44" fillId="0" borderId="0" xfId="24" quotePrefix="1" applyNumberFormat="1" applyFont="1" applyFill="1" applyBorder="1"/>
    <xf numFmtId="49" fontId="49" fillId="0" borderId="0" xfId="24" applyNumberFormat="1" applyFont="1" applyFill="1" applyBorder="1" applyAlignment="1">
      <alignment horizontal="left"/>
    </xf>
    <xf numFmtId="0" fontId="49" fillId="0" borderId="0" xfId="24" applyFont="1" applyFill="1" applyAlignment="1">
      <alignment horizontal="left" wrapText="1"/>
    </xf>
    <xf numFmtId="2" fontId="50" fillId="0" borderId="0" xfId="24" applyNumberFormat="1" applyFont="1" applyFill="1"/>
    <xf numFmtId="2" fontId="50" fillId="0" borderId="0" xfId="24" applyNumberFormat="1" applyFont="1" applyFill="1" applyAlignment="1">
      <alignment horizontal="center" vertical="center"/>
    </xf>
    <xf numFmtId="0" fontId="50" fillId="0" borderId="0" xfId="24" applyFont="1" applyFill="1" applyBorder="1"/>
    <xf numFmtId="0" fontId="49" fillId="0" borderId="0" xfId="24" applyFont="1" applyFill="1" applyBorder="1"/>
    <xf numFmtId="0" fontId="51" fillId="14" borderId="23" xfId="24" applyFont="1" applyFill="1" applyBorder="1" applyAlignment="1">
      <alignment horizontal="left" vertical="center" wrapText="1"/>
    </xf>
    <xf numFmtId="1" fontId="51" fillId="14" borderId="24" xfId="24" applyNumberFormat="1" applyFont="1" applyFill="1" applyBorder="1" applyAlignment="1">
      <alignment horizontal="center" vertical="center" wrapText="1"/>
    </xf>
    <xf numFmtId="2" fontId="51" fillId="14" borderId="25" xfId="24" applyNumberFormat="1" applyFont="1" applyFill="1" applyBorder="1" applyAlignment="1">
      <alignment horizontal="center" vertical="center" wrapText="1"/>
    </xf>
    <xf numFmtId="0" fontId="51" fillId="0" borderId="0" xfId="24" applyFont="1" applyFill="1" applyBorder="1"/>
    <xf numFmtId="4" fontId="47" fillId="0" borderId="0" xfId="24" applyNumberFormat="1" applyFont="1" applyFill="1" applyBorder="1" applyAlignment="1">
      <alignment horizontal="left" wrapText="1"/>
    </xf>
    <xf numFmtId="2" fontId="47" fillId="0" borderId="0" xfId="1" applyNumberFormat="1" applyFont="1" applyBorder="1" applyAlignment="1">
      <alignment horizontal="center"/>
    </xf>
    <xf numFmtId="2" fontId="47" fillId="0" borderId="0" xfId="1" applyNumberFormat="1" applyFont="1" applyFill="1" applyBorder="1"/>
    <xf numFmtId="0" fontId="51" fillId="0" borderId="0" xfId="24" applyFont="1" applyFill="1" applyBorder="1" applyAlignment="1">
      <alignment horizontal="left"/>
    </xf>
    <xf numFmtId="4" fontId="51" fillId="9" borderId="0" xfId="24" applyNumberFormat="1" applyFont="1" applyFill="1" applyBorder="1" applyAlignment="1">
      <alignment horizontal="left" wrapText="1"/>
    </xf>
    <xf numFmtId="1" fontId="39" fillId="9" borderId="0" xfId="1" applyNumberFormat="1" applyFont="1" applyFill="1" applyBorder="1" applyAlignment="1">
      <alignment horizontal="center"/>
    </xf>
    <xf numFmtId="1" fontId="51" fillId="9" borderId="0" xfId="1" applyNumberFormat="1" applyFont="1" applyFill="1" applyBorder="1"/>
    <xf numFmtId="0" fontId="52" fillId="0" borderId="0" xfId="24" applyFont="1" applyFill="1" applyBorder="1" applyAlignment="1">
      <alignment horizontal="center"/>
    </xf>
    <xf numFmtId="0" fontId="51" fillId="0" borderId="0" xfId="24" applyFont="1" applyFill="1" applyBorder="1" applyAlignment="1">
      <alignment horizontal="center"/>
    </xf>
    <xf numFmtId="0" fontId="51" fillId="0" borderId="0" xfId="24" applyFont="1" applyFill="1" applyBorder="1" applyAlignment="1">
      <alignment horizontal="right"/>
    </xf>
    <xf numFmtId="9" fontId="47" fillId="9" borderId="0" xfId="25" applyFont="1" applyFill="1" applyBorder="1"/>
    <xf numFmtId="9" fontId="47" fillId="0" borderId="0" xfId="24" applyNumberFormat="1" applyFont="1" applyFill="1" applyBorder="1"/>
    <xf numFmtId="4" fontId="51" fillId="0" borderId="0" xfId="24" applyNumberFormat="1" applyFont="1" applyFill="1" applyBorder="1" applyAlignment="1">
      <alignment horizontal="left" wrapText="1"/>
    </xf>
    <xf numFmtId="1" fontId="39" fillId="0" borderId="0" xfId="1" applyNumberFormat="1" applyFont="1" applyFill="1" applyBorder="1" applyAlignment="1">
      <alignment horizontal="center"/>
    </xf>
    <xf numFmtId="1" fontId="51" fillId="0" borderId="0" xfId="1" applyNumberFormat="1" applyFont="1" applyFill="1" applyBorder="1"/>
    <xf numFmtId="0" fontId="47" fillId="0" borderId="0" xfId="24" applyFont="1" applyFill="1" applyBorder="1" applyAlignment="1">
      <alignment horizontal="center"/>
    </xf>
    <xf numFmtId="9" fontId="47" fillId="0" borderId="0" xfId="25" applyFont="1" applyFill="1" applyBorder="1"/>
    <xf numFmtId="169" fontId="47" fillId="0" borderId="0" xfId="24" applyNumberFormat="1" applyFont="1" applyFill="1" applyBorder="1" applyAlignment="1">
      <alignment horizontal="left"/>
    </xf>
    <xf numFmtId="169" fontId="51" fillId="15" borderId="0" xfId="24" applyNumberFormat="1" applyFont="1" applyFill="1" applyBorder="1" applyAlignment="1">
      <alignment horizontal="left" wrapText="1"/>
    </xf>
    <xf numFmtId="1" fontId="39" fillId="15" borderId="0" xfId="1" applyNumberFormat="1" applyFont="1" applyFill="1" applyBorder="1" applyAlignment="1">
      <alignment horizontal="center"/>
    </xf>
    <xf numFmtId="1" fontId="51" fillId="15" borderId="0" xfId="1" applyNumberFormat="1" applyFont="1" applyFill="1" applyBorder="1"/>
    <xf numFmtId="168" fontId="48" fillId="0" borderId="0" xfId="1" applyNumberFormat="1" applyFont="1" applyFill="1" applyBorder="1" applyAlignment="1">
      <alignment horizontal="left"/>
    </xf>
    <xf numFmtId="168" fontId="47" fillId="0" borderId="0" xfId="1" applyNumberFormat="1" applyFont="1" applyFill="1" applyBorder="1"/>
    <xf numFmtId="169" fontId="53" fillId="0" borderId="0" xfId="24" applyNumberFormat="1" applyFont="1" applyFill="1" applyBorder="1" applyAlignment="1">
      <alignment horizontal="left" wrapText="1"/>
    </xf>
    <xf numFmtId="1" fontId="39" fillId="0" borderId="0" xfId="1" applyNumberFormat="1" applyFont="1" applyFill="1" applyBorder="1"/>
    <xf numFmtId="168" fontId="48" fillId="0" borderId="0" xfId="1" applyNumberFormat="1" applyFont="1" applyFill="1" applyBorder="1" applyAlignment="1">
      <alignment horizontal="center"/>
    </xf>
    <xf numFmtId="169" fontId="51" fillId="0" borderId="0" xfId="24" applyNumberFormat="1" applyFont="1" applyFill="1" applyBorder="1" applyAlignment="1">
      <alignment horizontal="left" wrapText="1"/>
    </xf>
    <xf numFmtId="169" fontId="51" fillId="8" borderId="0" xfId="24" applyNumberFormat="1" applyFont="1" applyFill="1" applyBorder="1" applyAlignment="1">
      <alignment horizontal="left" wrapText="1"/>
    </xf>
    <xf numFmtId="1" fontId="39" fillId="8" borderId="0" xfId="1" applyNumberFormat="1" applyFont="1" applyFill="1" applyBorder="1" applyAlignment="1">
      <alignment horizontal="center"/>
    </xf>
    <xf numFmtId="1" fontId="51" fillId="8" borderId="0" xfId="1" applyNumberFormat="1" applyFont="1" applyFill="1" applyBorder="1"/>
    <xf numFmtId="169" fontId="47" fillId="0" borderId="0" xfId="24" applyNumberFormat="1" applyFont="1" applyFill="1" applyBorder="1" applyAlignment="1">
      <alignment horizontal="center"/>
    </xf>
    <xf numFmtId="169" fontId="47" fillId="0" borderId="0" xfId="1" applyNumberFormat="1" applyFont="1" applyFill="1" applyBorder="1" applyAlignment="1">
      <alignment horizontal="center"/>
    </xf>
    <xf numFmtId="169" fontId="51" fillId="0" borderId="0" xfId="1" applyNumberFormat="1" applyFont="1" applyFill="1" applyBorder="1"/>
    <xf numFmtId="169" fontId="51" fillId="14" borderId="17" xfId="24" applyNumberFormat="1" applyFont="1" applyFill="1" applyBorder="1" applyAlignment="1">
      <alignment horizontal="right" wrapText="1"/>
    </xf>
    <xf numFmtId="165" fontId="51" fillId="14" borderId="17" xfId="1" applyNumberFormat="1" applyFont="1" applyFill="1" applyBorder="1" applyAlignment="1">
      <alignment horizontal="center"/>
    </xf>
    <xf numFmtId="9" fontId="51" fillId="0" borderId="0" xfId="25" applyFont="1" applyFill="1" applyBorder="1"/>
    <xf numFmtId="168" fontId="47" fillId="0" borderId="0" xfId="1" applyNumberFormat="1" applyFont="1" applyFill="1" applyBorder="1" applyAlignment="1">
      <alignment horizontal="left" wrapText="1"/>
    </xf>
    <xf numFmtId="9" fontId="47" fillId="0" borderId="0" xfId="25" applyFont="1" applyFill="1" applyBorder="1" applyAlignment="1">
      <alignment horizontal="center"/>
    </xf>
    <xf numFmtId="165" fontId="47" fillId="0" borderId="0" xfId="25" applyNumberFormat="1" applyFont="1" applyFill="1" applyBorder="1" applyAlignment="1">
      <alignment horizontal="center"/>
    </xf>
    <xf numFmtId="165" fontId="47" fillId="0" borderId="0" xfId="24" applyNumberFormat="1" applyFont="1" applyFill="1" applyBorder="1"/>
    <xf numFmtId="168" fontId="51" fillId="0" borderId="0" xfId="1" applyNumberFormat="1" applyFont="1" applyFill="1" applyBorder="1" applyAlignment="1">
      <alignment horizontal="left" wrapText="1"/>
    </xf>
    <xf numFmtId="168" fontId="51" fillId="0" borderId="0" xfId="1" applyNumberFormat="1" applyFont="1" applyFill="1" applyBorder="1" applyAlignment="1">
      <alignment horizontal="center"/>
    </xf>
    <xf numFmtId="168" fontId="52" fillId="0" borderId="0" xfId="1" applyNumberFormat="1" applyFont="1" applyFill="1" applyBorder="1" applyAlignment="1">
      <alignment horizontal="center"/>
    </xf>
    <xf numFmtId="0" fontId="40" fillId="0" borderId="0" xfId="24" applyFont="1" applyFill="1" applyBorder="1" applyAlignment="1">
      <alignment horizontal="right"/>
    </xf>
    <xf numFmtId="0" fontId="54" fillId="0" borderId="0" xfId="26" applyFill="1" applyBorder="1"/>
    <xf numFmtId="0" fontId="51" fillId="0" borderId="0" xfId="24" applyFont="1" applyFill="1" applyBorder="1" applyAlignment="1">
      <alignment vertical="center"/>
    </xf>
    <xf numFmtId="167" fontId="52" fillId="0" borderId="0" xfId="25" applyNumberFormat="1" applyFont="1" applyFill="1" applyBorder="1" applyAlignment="1">
      <alignment vertical="center"/>
    </xf>
    <xf numFmtId="167" fontId="51" fillId="0" borderId="0" xfId="25" applyNumberFormat="1" applyFont="1" applyFill="1" applyBorder="1" applyAlignment="1">
      <alignment vertical="center"/>
    </xf>
    <xf numFmtId="0" fontId="47" fillId="0" borderId="0" xfId="24" applyFont="1" applyFill="1" applyBorder="1" applyAlignment="1">
      <alignment vertical="center"/>
    </xf>
    <xf numFmtId="167" fontId="52" fillId="0" borderId="0" xfId="25" applyNumberFormat="1" applyFont="1" applyFill="1" applyBorder="1"/>
    <xf numFmtId="167" fontId="51" fillId="0" borderId="0" xfId="25" applyNumberFormat="1" applyFont="1" applyFill="1" applyBorder="1"/>
    <xf numFmtId="1" fontId="51" fillId="12" borderId="24" xfId="24" applyNumberFormat="1" applyFont="1" applyFill="1" applyBorder="1" applyAlignment="1">
      <alignment horizontal="center" vertical="center" wrapText="1"/>
    </xf>
    <xf numFmtId="167" fontId="39" fillId="9" borderId="0" xfId="25" applyNumberFormat="1" applyFont="1" applyFill="1" applyBorder="1" applyAlignment="1">
      <alignment horizontal="center"/>
    </xf>
    <xf numFmtId="167" fontId="51" fillId="9" borderId="0" xfId="25" applyNumberFormat="1" applyFont="1" applyFill="1" applyBorder="1"/>
    <xf numFmtId="9" fontId="48" fillId="0" borderId="0" xfId="25" applyFont="1" applyFill="1" applyBorder="1"/>
    <xf numFmtId="9" fontId="39" fillId="9" borderId="0" xfId="25" applyFont="1" applyFill="1" applyBorder="1" applyAlignment="1">
      <alignment horizontal="center"/>
    </xf>
    <xf numFmtId="9" fontId="51" fillId="9" borderId="0" xfId="25" applyFont="1" applyFill="1" applyBorder="1"/>
    <xf numFmtId="167" fontId="39" fillId="0" borderId="0" xfId="25" applyNumberFormat="1" applyFont="1" applyFill="1" applyBorder="1" applyAlignment="1">
      <alignment horizontal="center"/>
    </xf>
    <xf numFmtId="9" fontId="39" fillId="0" borderId="0" xfId="25" applyFont="1" applyFill="1" applyBorder="1" applyAlignment="1">
      <alignment horizontal="center"/>
    </xf>
    <xf numFmtId="0" fontId="55" fillId="0" borderId="0" xfId="24" applyFont="1" applyFill="1" applyBorder="1" applyAlignment="1">
      <alignment horizontal="right"/>
    </xf>
    <xf numFmtId="9" fontId="52" fillId="0" borderId="0" xfId="25" applyFont="1" applyFill="1" applyBorder="1" applyAlignment="1">
      <alignment horizontal="center"/>
    </xf>
    <xf numFmtId="9" fontId="48" fillId="0" borderId="0" xfId="25" applyFont="1" applyFill="1" applyBorder="1" applyAlignment="1">
      <alignment horizontal="center"/>
    </xf>
    <xf numFmtId="43" fontId="47" fillId="0" borderId="0" xfId="1" applyFont="1" applyFill="1" applyBorder="1"/>
    <xf numFmtId="167" fontId="39" fillId="15" borderId="0" xfId="25" applyNumberFormat="1" applyFont="1" applyFill="1" applyBorder="1" applyAlignment="1">
      <alignment horizontal="center"/>
    </xf>
    <xf numFmtId="167" fontId="51" fillId="15" borderId="0" xfId="25" applyNumberFormat="1" applyFont="1" applyFill="1" applyBorder="1"/>
    <xf numFmtId="9" fontId="39" fillId="15" borderId="0" xfId="25" applyFont="1" applyFill="1" applyBorder="1" applyAlignment="1">
      <alignment horizontal="center"/>
    </xf>
    <xf numFmtId="9" fontId="51" fillId="15" borderId="0" xfId="25" applyFont="1" applyFill="1" applyBorder="1"/>
    <xf numFmtId="167" fontId="39" fillId="0" borderId="0" xfId="25" applyNumberFormat="1" applyFont="1" applyFill="1" applyBorder="1"/>
    <xf numFmtId="9" fontId="39" fillId="0" borderId="0" xfId="25" applyFont="1" applyFill="1" applyBorder="1"/>
    <xf numFmtId="167" fontId="39" fillId="8" borderId="0" xfId="25" applyNumberFormat="1" applyFont="1" applyFill="1" applyBorder="1" applyAlignment="1">
      <alignment horizontal="center"/>
    </xf>
    <xf numFmtId="167" fontId="51" fillId="8" borderId="0" xfId="25" applyNumberFormat="1" applyFont="1" applyFill="1" applyBorder="1"/>
    <xf numFmtId="9" fontId="39" fillId="8" borderId="0" xfId="25" applyFont="1" applyFill="1" applyBorder="1" applyAlignment="1">
      <alignment horizontal="center"/>
    </xf>
    <xf numFmtId="9" fontId="51" fillId="8" borderId="0" xfId="25" applyFont="1" applyFill="1" applyBorder="1"/>
    <xf numFmtId="169" fontId="39" fillId="9" borderId="0" xfId="1" applyNumberFormat="1" applyFont="1" applyFill="1" applyBorder="1" applyAlignment="1">
      <alignment horizontal="center"/>
    </xf>
    <xf numFmtId="169" fontId="51" fillId="9" borderId="0" xfId="1" applyNumberFormat="1" applyFont="1" applyFill="1" applyBorder="1"/>
    <xf numFmtId="169" fontId="39" fillId="0" borderId="0" xfId="1" applyNumberFormat="1" applyFont="1" applyFill="1" applyBorder="1" applyAlignment="1">
      <alignment horizontal="center"/>
    </xf>
    <xf numFmtId="169" fontId="39" fillId="8" borderId="0" xfId="1" applyNumberFormat="1" applyFont="1" applyFill="1" applyBorder="1" applyAlignment="1">
      <alignment horizontal="center"/>
    </xf>
    <xf numFmtId="169" fontId="51" fillId="8" borderId="0" xfId="1" applyNumberFormat="1" applyFont="1" applyFill="1" applyBorder="1"/>
    <xf numFmtId="165" fontId="47" fillId="0" borderId="0" xfId="1" applyNumberFormat="1" applyFont="1" applyFill="1" applyBorder="1" applyAlignment="1">
      <alignment horizontal="center"/>
    </xf>
    <xf numFmtId="165" fontId="51" fillId="0" borderId="0" xfId="1" applyNumberFormat="1" applyFont="1" applyFill="1" applyBorder="1"/>
    <xf numFmtId="167" fontId="51" fillId="14" borderId="17" xfId="25" applyNumberFormat="1" applyFont="1" applyFill="1" applyBorder="1" applyAlignment="1">
      <alignment horizontal="center"/>
    </xf>
    <xf numFmtId="9" fontId="51" fillId="14" borderId="17" xfId="25" applyFont="1" applyFill="1" applyBorder="1" applyAlignment="1">
      <alignment horizontal="center"/>
    </xf>
    <xf numFmtId="43" fontId="47" fillId="0" borderId="0" xfId="1" applyFont="1" applyFill="1" applyBorder="1" applyAlignment="1">
      <alignment horizontal="left" wrapText="1"/>
    </xf>
    <xf numFmtId="9" fontId="47" fillId="0" borderId="0" xfId="25" applyFont="1" applyFill="1" applyBorder="1" applyAlignment="1">
      <alignment horizontal="left"/>
    </xf>
    <xf numFmtId="10" fontId="47" fillId="0" borderId="0" xfId="25" applyNumberFormat="1" applyFont="1" applyFill="1" applyBorder="1" applyAlignment="1">
      <alignment horizontal="center"/>
    </xf>
    <xf numFmtId="43" fontId="47" fillId="0" borderId="0" xfId="1" applyFont="1" applyFill="1" applyBorder="1" applyAlignment="1">
      <alignment horizontal="center"/>
    </xf>
    <xf numFmtId="43" fontId="48" fillId="0" borderId="0" xfId="1" applyFont="1" applyFill="1" applyBorder="1" applyAlignment="1">
      <alignment horizontal="center"/>
    </xf>
    <xf numFmtId="43" fontId="51" fillId="0" borderId="0" xfId="1" applyFont="1" applyFill="1" applyBorder="1" applyAlignment="1">
      <alignment horizontal="left" wrapText="1"/>
    </xf>
    <xf numFmtId="43" fontId="51" fillId="0" borderId="0" xfId="1" applyFont="1" applyFill="1" applyBorder="1" applyAlignment="1">
      <alignment horizontal="center"/>
    </xf>
    <xf numFmtId="43" fontId="52" fillId="0" borderId="0" xfId="1" applyFont="1" applyFill="1" applyBorder="1" applyAlignment="1">
      <alignment horizontal="center"/>
    </xf>
    <xf numFmtId="167" fontId="51" fillId="0" borderId="0" xfId="25" applyNumberFormat="1" applyFont="1" applyFill="1" applyBorder="1" applyAlignment="1">
      <alignment horizontal="left" wrapText="1"/>
    </xf>
    <xf numFmtId="43" fontId="47" fillId="0" borderId="0" xfId="24" applyNumberFormat="1" applyFont="1" applyFill="1" applyBorder="1"/>
    <xf numFmtId="43" fontId="48" fillId="0" borderId="0" xfId="24" applyNumberFormat="1" applyFont="1" applyFill="1" applyBorder="1"/>
    <xf numFmtId="0" fontId="51" fillId="0" borderId="0" xfId="24" applyFont="1" applyFill="1" applyBorder="1" applyAlignment="1">
      <alignment horizontal="left" wrapText="1"/>
    </xf>
    <xf numFmtId="4" fontId="47" fillId="0" borderId="0" xfId="24" applyNumberFormat="1" applyFont="1" applyFill="1" applyBorder="1" applyAlignment="1">
      <alignment horizontal="left"/>
    </xf>
    <xf numFmtId="169" fontId="51" fillId="0" borderId="0" xfId="24" applyNumberFormat="1" applyFont="1" applyFill="1" applyBorder="1" applyAlignment="1">
      <alignment horizontal="center"/>
    </xf>
    <xf numFmtId="4" fontId="47" fillId="0" borderId="0" xfId="24" applyNumberFormat="1" applyFont="1" applyFill="1" applyBorder="1" applyAlignment="1">
      <alignment horizontal="center"/>
    </xf>
    <xf numFmtId="43" fontId="48" fillId="0" borderId="0" xfId="1" applyFont="1" applyFill="1" applyBorder="1"/>
    <xf numFmtId="9" fontId="51" fillId="15" borderId="20" xfId="25" applyFont="1" applyFill="1" applyBorder="1"/>
    <xf numFmtId="0" fontId="51" fillId="15" borderId="18" xfId="24" applyFont="1" applyFill="1" applyBorder="1"/>
    <xf numFmtId="165" fontId="27" fillId="0" borderId="0" xfId="21" applyNumberFormat="1" applyFont="1" applyAlignment="1"/>
    <xf numFmtId="165" fontId="1" fillId="0" borderId="0" xfId="21" applyNumberFormat="1" applyFont="1" applyAlignment="1">
      <alignment horizontal="right"/>
    </xf>
    <xf numFmtId="165" fontId="1" fillId="0" borderId="0" xfId="21" applyNumberFormat="1" applyFont="1"/>
    <xf numFmtId="165" fontId="27" fillId="0" borderId="0" xfId="21" applyNumberFormat="1" applyFont="1"/>
    <xf numFmtId="165" fontId="0" fillId="0" borderId="0" xfId="21" applyNumberFormat="1" applyFont="1"/>
    <xf numFmtId="165" fontId="1" fillId="0" borderId="0" xfId="21" applyNumberFormat="1" applyFont="1" applyFill="1"/>
    <xf numFmtId="165" fontId="27" fillId="0" borderId="0" xfId="21" applyNumberFormat="1" applyFont="1" applyFill="1"/>
    <xf numFmtId="165" fontId="0" fillId="0" borderId="0" xfId="21" applyNumberFormat="1" applyFont="1" applyFill="1"/>
    <xf numFmtId="165" fontId="58" fillId="0" borderId="0" xfId="21" applyNumberFormat="1" applyFont="1" applyAlignment="1"/>
    <xf numFmtId="165" fontId="27" fillId="0" borderId="0" xfId="21" applyNumberFormat="1" applyFont="1" applyAlignment="1">
      <alignment horizontal="center"/>
    </xf>
    <xf numFmtId="165" fontId="27" fillId="0" borderId="1" xfId="21" applyNumberFormat="1" applyFont="1" applyBorder="1" applyAlignment="1">
      <alignment horizontal="center"/>
    </xf>
    <xf numFmtId="165" fontId="59" fillId="0" borderId="0" xfId="21" applyNumberFormat="1" applyFont="1" applyAlignment="1">
      <alignment horizontal="center"/>
    </xf>
    <xf numFmtId="165" fontId="27" fillId="0" borderId="1" xfId="21" applyNumberFormat="1" applyFont="1" applyFill="1" applyBorder="1" applyAlignment="1">
      <alignment horizontal="center"/>
    </xf>
    <xf numFmtId="165" fontId="1" fillId="0" borderId="0" xfId="21" applyNumberFormat="1" applyFont="1" applyAlignment="1"/>
    <xf numFmtId="165" fontId="27" fillId="0" borderId="0" xfId="21" applyNumberFormat="1" applyFont="1" applyAlignment="1">
      <alignment horizontal="right"/>
    </xf>
    <xf numFmtId="165" fontId="1" fillId="0" borderId="6" xfId="21" applyNumberFormat="1" applyFont="1" applyBorder="1"/>
    <xf numFmtId="165" fontId="27" fillId="0" borderId="6" xfId="21" applyNumberFormat="1" applyFont="1" applyBorder="1"/>
    <xf numFmtId="165" fontId="1" fillId="0" borderId="6" xfId="21" applyNumberFormat="1" applyFont="1" applyFill="1" applyBorder="1"/>
    <xf numFmtId="165" fontId="1" fillId="0" borderId="0" xfId="21" applyNumberFormat="1" applyFont="1" applyBorder="1"/>
    <xf numFmtId="165" fontId="27" fillId="0" borderId="0" xfId="21" applyNumberFormat="1" applyFont="1" applyBorder="1"/>
    <xf numFmtId="165" fontId="1" fillId="0" borderId="0" xfId="21" applyNumberFormat="1" applyFont="1" applyFill="1" applyBorder="1"/>
    <xf numFmtId="165" fontId="27" fillId="0" borderId="16" xfId="21" applyNumberFormat="1" applyFont="1" applyBorder="1"/>
    <xf numFmtId="165" fontId="59" fillId="0" borderId="0" xfId="21" applyNumberFormat="1" applyFont="1"/>
    <xf numFmtId="165" fontId="27" fillId="0" borderId="16" xfId="21" applyNumberFormat="1" applyFont="1" applyFill="1" applyBorder="1"/>
    <xf numFmtId="165" fontId="42" fillId="0" borderId="12" xfId="21" applyNumberFormat="1" applyFont="1" applyBorder="1"/>
    <xf numFmtId="0" fontId="43" fillId="0" borderId="21" xfId="9" applyFont="1" applyBorder="1"/>
    <xf numFmtId="0" fontId="28" fillId="0" borderId="21" xfId="9" applyFont="1" applyBorder="1"/>
    <xf numFmtId="165" fontId="42" fillId="0" borderId="13" xfId="21" applyNumberFormat="1" applyFont="1" applyBorder="1"/>
    <xf numFmtId="165" fontId="1" fillId="0" borderId="10" xfId="21" applyNumberFormat="1" applyFont="1" applyBorder="1"/>
    <xf numFmtId="165" fontId="1" fillId="0" borderId="11" xfId="21" applyNumberFormat="1" applyFont="1" applyBorder="1"/>
    <xf numFmtId="165" fontId="42" fillId="0" borderId="10" xfId="21" applyNumberFormat="1" applyFont="1" applyBorder="1"/>
    <xf numFmtId="0" fontId="28" fillId="0" borderId="0" xfId="9" applyFont="1" applyBorder="1"/>
    <xf numFmtId="0" fontId="24" fillId="0" borderId="0" xfId="9" applyFont="1" applyBorder="1" applyAlignment="1">
      <alignment horizontal="center"/>
    </xf>
    <xf numFmtId="165" fontId="41" fillId="0" borderId="11" xfId="21" applyNumberFormat="1" applyFont="1" applyBorder="1" applyAlignment="1">
      <alignment horizontal="center"/>
    </xf>
    <xf numFmtId="165" fontId="27" fillId="0" borderId="10" xfId="21" applyNumberFormat="1" applyFont="1" applyBorder="1" applyAlignment="1">
      <alignment horizontal="center"/>
    </xf>
    <xf numFmtId="165" fontId="27" fillId="0" borderId="11" xfId="21" applyNumberFormat="1" applyFont="1" applyBorder="1" applyAlignment="1">
      <alignment horizontal="center"/>
    </xf>
    <xf numFmtId="0" fontId="28" fillId="0" borderId="0" xfId="9" applyFont="1" applyBorder="1" applyAlignment="1">
      <alignment horizontal="right"/>
    </xf>
    <xf numFmtId="165" fontId="28" fillId="18" borderId="0" xfId="22" applyNumberFormat="1" applyFont="1" applyFill="1" applyBorder="1"/>
    <xf numFmtId="165" fontId="28" fillId="0" borderId="0" xfId="21" applyNumberFormat="1" applyFont="1" applyBorder="1"/>
    <xf numFmtId="9" fontId="42" fillId="0" borderId="11" xfId="23" applyFont="1" applyBorder="1" applyAlignment="1">
      <alignment horizontal="center"/>
    </xf>
    <xf numFmtId="165" fontId="1" fillId="18" borderId="10" xfId="21" applyNumberFormat="1" applyFont="1" applyFill="1" applyBorder="1"/>
    <xf numFmtId="9" fontId="1" fillId="0" borderId="11" xfId="23" applyFont="1" applyBorder="1" applyAlignment="1">
      <alignment horizontal="center"/>
    </xf>
    <xf numFmtId="0" fontId="28" fillId="0" borderId="0" xfId="9" applyFont="1" applyFill="1" applyBorder="1" applyAlignment="1">
      <alignment horizontal="right"/>
    </xf>
    <xf numFmtId="0" fontId="41" fillId="0" borderId="0" xfId="9" applyFont="1" applyBorder="1" applyAlignment="1">
      <alignment horizontal="right"/>
    </xf>
    <xf numFmtId="165" fontId="28" fillId="0" borderId="6" xfId="22" applyNumberFormat="1" applyFont="1" applyBorder="1"/>
    <xf numFmtId="165" fontId="1" fillId="0" borderId="22" xfId="21" applyNumberFormat="1" applyFont="1" applyBorder="1"/>
    <xf numFmtId="165" fontId="42" fillId="0" borderId="14" xfId="21" applyNumberFormat="1" applyFont="1" applyBorder="1"/>
    <xf numFmtId="0" fontId="28" fillId="0" borderId="5" xfId="9" applyFont="1" applyBorder="1"/>
    <xf numFmtId="165" fontId="42" fillId="0" borderId="15" xfId="21" applyNumberFormat="1" applyFont="1" applyBorder="1"/>
    <xf numFmtId="165" fontId="1" fillId="0" borderId="14" xfId="21" applyNumberFormat="1" applyFont="1" applyBorder="1"/>
    <xf numFmtId="165" fontId="1" fillId="0" borderId="15" xfId="21" applyNumberFormat="1" applyFont="1" applyBorder="1"/>
    <xf numFmtId="165" fontId="27" fillId="15" borderId="20" xfId="21" applyNumberFormat="1" applyFont="1" applyFill="1" applyBorder="1" applyAlignment="1">
      <alignment horizontal="right"/>
    </xf>
    <xf numFmtId="9" fontId="27" fillId="15" borderId="18" xfId="23" applyFont="1" applyFill="1" applyBorder="1" applyAlignment="1">
      <alignment horizontal="center"/>
    </xf>
    <xf numFmtId="0" fontId="53" fillId="0" borderId="0" xfId="24" applyFont="1" applyFill="1" applyBorder="1"/>
    <xf numFmtId="0" fontId="8" fillId="0" borderId="0" xfId="0" applyFont="1" applyAlignment="1">
      <alignment horizontal="right"/>
    </xf>
    <xf numFmtId="165" fontId="0" fillId="0" borderId="0" xfId="1" applyNumberFormat="1" applyFont="1"/>
    <xf numFmtId="165" fontId="0" fillId="0" borderId="0" xfId="0" applyNumberFormat="1"/>
    <xf numFmtId="44" fontId="0" fillId="0" borderId="0" xfId="7" applyFont="1"/>
    <xf numFmtId="44" fontId="8" fillId="0" borderId="0" xfId="0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11" fillId="0" borderId="17" xfId="0" applyFont="1" applyBorder="1" applyAlignment="1">
      <alignment horizontal="right"/>
    </xf>
    <xf numFmtId="166" fontId="11" fillId="0" borderId="17" xfId="7" applyNumberFormat="1" applyFont="1" applyBorder="1"/>
    <xf numFmtId="44" fontId="11" fillId="0" borderId="16" xfId="16" applyNumberFormat="1" applyFont="1" applyBorder="1"/>
    <xf numFmtId="0" fontId="11" fillId="0" borderId="1" xfId="0" applyFont="1" applyBorder="1" applyAlignment="1">
      <alignment horizontal="center"/>
    </xf>
    <xf numFmtId="0" fontId="30" fillId="9" borderId="0" xfId="9" applyFont="1" applyFill="1" applyAlignment="1">
      <alignment horizontal="center"/>
    </xf>
    <xf numFmtId="0" fontId="27" fillId="0" borderId="1" xfId="12" applyFont="1" applyBorder="1" applyAlignment="1">
      <alignment horizontal="center"/>
    </xf>
    <xf numFmtId="167" fontId="51" fillId="16" borderId="20" xfId="25" applyNumberFormat="1" applyFont="1" applyFill="1" applyBorder="1" applyAlignment="1">
      <alignment horizontal="center" vertical="center" wrapText="1"/>
    </xf>
    <xf numFmtId="167" fontId="51" fillId="16" borderId="19" xfId="25" applyNumberFormat="1" applyFont="1" applyFill="1" applyBorder="1" applyAlignment="1">
      <alignment horizontal="center" vertical="center" wrapText="1"/>
    </xf>
    <xf numFmtId="167" fontId="51" fillId="16" borderId="18" xfId="25" applyNumberFormat="1" applyFont="1" applyFill="1" applyBorder="1" applyAlignment="1">
      <alignment horizontal="center" vertical="center" wrapText="1"/>
    </xf>
    <xf numFmtId="0" fontId="51" fillId="17" borderId="23" xfId="24" applyFont="1" applyFill="1" applyBorder="1" applyAlignment="1">
      <alignment horizontal="center" vertical="center"/>
    </xf>
    <xf numFmtId="0" fontId="51" fillId="17" borderId="24" xfId="24" applyFont="1" applyFill="1" applyBorder="1" applyAlignment="1">
      <alignment horizontal="center" vertical="center"/>
    </xf>
    <xf numFmtId="0" fontId="51" fillId="17" borderId="25" xfId="24" applyFont="1" applyFill="1" applyBorder="1" applyAlignment="1">
      <alignment horizontal="center" vertical="center"/>
    </xf>
    <xf numFmtId="0" fontId="51" fillId="17" borderId="20" xfId="24" applyFont="1" applyFill="1" applyBorder="1" applyAlignment="1">
      <alignment horizontal="center" vertical="center"/>
    </xf>
    <xf numFmtId="0" fontId="51" fillId="17" borderId="19" xfId="24" applyFont="1" applyFill="1" applyBorder="1" applyAlignment="1">
      <alignment horizontal="center" vertical="center"/>
    </xf>
    <xf numFmtId="0" fontId="51" fillId="17" borderId="18" xfId="24" applyFont="1" applyFill="1" applyBorder="1" applyAlignment="1">
      <alignment horizontal="center" vertical="center"/>
    </xf>
    <xf numFmtId="0" fontId="27" fillId="9" borderId="20" xfId="9" applyFont="1" applyFill="1" applyBorder="1" applyAlignment="1">
      <alignment horizontal="center"/>
    </xf>
    <xf numFmtId="0" fontId="27" fillId="9" borderId="19" xfId="9" applyFont="1" applyFill="1" applyBorder="1" applyAlignment="1">
      <alignment horizontal="center"/>
    </xf>
    <xf numFmtId="0" fontId="27" fillId="9" borderId="18" xfId="9" applyFont="1" applyFill="1" applyBorder="1" applyAlignment="1">
      <alignment horizontal="center"/>
    </xf>
    <xf numFmtId="165" fontId="27" fillId="9" borderId="20" xfId="21" applyNumberFormat="1" applyFont="1" applyFill="1" applyBorder="1" applyAlignment="1">
      <alignment horizontal="center"/>
    </xf>
    <xf numFmtId="165" fontId="27" fillId="9" borderId="18" xfId="21" applyNumberFormat="1" applyFont="1" applyFill="1" applyBorder="1" applyAlignment="1">
      <alignment horizontal="center"/>
    </xf>
  </cellXfs>
  <cellStyles count="27">
    <cellStyle name="Comma" xfId="1" builtinId="3"/>
    <cellStyle name="Comma 12 4" xfId="21"/>
    <cellStyle name="Comma 2" xfId="10"/>
    <cellStyle name="Comma 2 2" xfId="22"/>
    <cellStyle name="Comma 3" xfId="13"/>
    <cellStyle name="Comma 4" xfId="19"/>
    <cellStyle name="Currency" xfId="7" builtinId="4"/>
    <cellStyle name="Currency 2" xfId="14"/>
    <cellStyle name="Currency 3" xfId="20"/>
    <cellStyle name="Hyperlink" xfId="26" builtinId="8"/>
    <cellStyle name="Normal" xfId="0" builtinId="0"/>
    <cellStyle name="Normal - Style1" xfId="2"/>
    <cellStyle name="Normal - Style2" xfId="3"/>
    <cellStyle name="Normal - Style3" xfId="4"/>
    <cellStyle name="Normal - Style4" xfId="5"/>
    <cellStyle name="Normal - Style5" xfId="6"/>
    <cellStyle name="Normal 10" xfId="18"/>
    <cellStyle name="Normal 2" xfId="9"/>
    <cellStyle name="Normal 3" xfId="12"/>
    <cellStyle name="Normal 3 2" xfId="24"/>
    <cellStyle name="Normal 4" xfId="17"/>
    <cellStyle name="Normal 50" xfId="16"/>
    <cellStyle name="Normal_Regulated Price Out 9-6-2011 Final HL" xfId="11"/>
    <cellStyle name="Percent" xfId="8" builtinId="5"/>
    <cellStyle name="Percent 2" xfId="15"/>
    <cellStyle name="Percent 3" xfId="25"/>
    <cellStyle name="Percent 5 4" xfId="2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customXml" Target="../customXml/item2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pivotCacheDefinition" Target="pivotCache/pivotCacheDefinition1.xml"/><Relationship Id="rId35" Type="http://schemas.openxmlformats.org/officeDocument/2006/relationships/customXml" Target="../customXml/item1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2111%20Murrey's/Annual%20Report/2020/From%20District/TacomaH%20Price%20Out%20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5\DistShares\WCNX%20Stuff\Excel\Financials\Excel%20Financials\ExcelFinancial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heatherg\AppData\Local\Microsoft\Windows\Temporary%20Internet%20Files\Content.Outlook\KNDSOALF\Fuel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ControllerDir/Northern_Washington/Month%20End/2017/Tacoma%20Hauling/03-2017/Revenue/Revenue%20Subledger/RM_MM001_Query_v4e%20-%20Murreys%20Updated%20for%20dist%20change%20(adjusted%20for%20DMR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Northern_Washington\Month%20End\2017\Tacoma%20Hauling\03-2017\Revenue\Revenue%20Subledger\RM_MM001_Query_v4e%20-%20Murreys%20Updated%20for%20dist%20change%20(adjusted%20for%20DMR).xlsm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disnap\accounting\MODEST~1\203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L_WASTE\SYS\ACCOUNT\CV2000\022000\2000_FEBRUARY_%20GL%20REC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utcfs2\grp_data\District\Joe_Garza\mark%20gregg\WUTC%20Files\Eastside\Eastside%20Rate%20Case%202006\Eastside%20RC%202006%20Filing%20Docs\Proforma%20Eastside%202005%204.17.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JeffHons\AppData\Local\Interject\FileCache\YYYY-MM_DDDD_BSReconBook_v2.0.3_Bla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11_IS210"/>
      <sheetName val="2132_IS210"/>
      <sheetName val="2140_IS210"/>
      <sheetName val="Revenue Pricing"/>
      <sheetName val="Epicor"/>
      <sheetName val="Revenue"/>
      <sheetName val="Customers"/>
      <sheetName val="Murrey's American G-9 Reg."/>
      <sheetName val="DM-BL"/>
      <sheetName val="DM-BUCK"/>
      <sheetName val="DM-CAR"/>
      <sheetName val="DM-MIL"/>
      <sheetName val="DM-ORT"/>
      <sheetName val="DM-PIER"/>
      <sheetName val="DM-PUY"/>
      <sheetName val="DM-SP"/>
      <sheetName val="DM-SUM"/>
      <sheetName val="RUSTON"/>
      <sheetName val="Vashon"/>
      <sheetName val="Sheet1"/>
      <sheetName val="MM001 Data"/>
      <sheetName val="PI default pricing 7.1.18"/>
      <sheetName val="PI Default Pricing 1.1.19"/>
      <sheetName val="PI default Pricing 3.1.19"/>
      <sheetName val="PI Default Pricing 3.1.20"/>
      <sheetName val="2160 Pivot"/>
      <sheetName val="Manual Revenue"/>
      <sheetName val="Buckley Cust"/>
      <sheetName val="Carb Cust"/>
      <sheetName val="SP Cust"/>
      <sheetName val="Instruc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 refreshError="1">
        <row r="2">
          <cell r="X2" t="str">
            <v>P&amp;L Close Report</v>
          </cell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Memo"/>
      <sheetName val="MM001Tranx"/>
      <sheetName val="JEexport"/>
      <sheetName val="Rev Import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  <sheetName val="RM_MM001_Query_v4e - Murreys Up"/>
    </sheetNames>
    <sheetDataSet>
      <sheetData sheetId="0"/>
      <sheetData sheetId="1"/>
      <sheetData sheetId="2">
        <row r="9">
          <cell r="L9">
            <v>11501</v>
          </cell>
        </row>
        <row r="10">
          <cell r="L10" t="str">
            <v>11501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 Memo"/>
      <sheetName val="MM001Tranx"/>
      <sheetName val="JEexport"/>
      <sheetName val="Rev Import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  <sheetName val="RM_MM001_Query_v4e - Murreys Up"/>
      <sheetName val=""/>
    </sheetNames>
    <sheetDataSet>
      <sheetData sheetId="0"/>
      <sheetData sheetId="1"/>
      <sheetData sheetId="2">
        <row r="9">
          <cell r="L9">
            <v>11501</v>
          </cell>
        </row>
        <row r="10">
          <cell r="L10" t="str">
            <v>11501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20"/>
      <sheetName val="#REF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tyCash-10110"/>
      <sheetName val="10200"/>
      <sheetName val="10210"/>
      <sheetName val="10250_RECON"/>
      <sheetName val="10250_MVPSS"/>
      <sheetName val="10250_Recy Chkg"/>
      <sheetName val="10250_Reimb Accts"/>
      <sheetName val="10250_Rollfwd"/>
      <sheetName val="10410_Rollfwd"/>
      <sheetName val="10410_Recon"/>
      <sheetName val="10410_Trade"/>
      <sheetName val="10410_Lodi"/>
      <sheetName val="10410_Sac Co"/>
      <sheetName val="10410_Brokered"/>
      <sheetName val="10420_Rollfwd"/>
      <sheetName val="10420 RECON"/>
      <sheetName val="Rollfwd_10550"/>
      <sheetName val="Recon_10550"/>
      <sheetName val="Recon_10555"/>
      <sheetName val="Recon_10610"/>
      <sheetName val="A170XX-October"/>
      <sheetName val="Recon_10760"/>
      <sheetName val="Rollfwd_10820"/>
      <sheetName val="PPXXC_10830"/>
      <sheetName val="Schedule_10830"/>
      <sheetName val="Recon_10830"/>
      <sheetName val="Rollfwd_10850"/>
      <sheetName val="Recon_10850"/>
      <sheetName val="ReconSumm_10890"/>
      <sheetName val="ASSETS 11XXX"/>
      <sheetName val="ACC DEP 12XXX"/>
      <sheetName val="GOODWILL_15120"/>
      <sheetName val="Rollfwd_15450"/>
      <sheetName val="15450_92 bond"/>
      <sheetName val="15450_94 Bond "/>
      <sheetName val="Recon_15450"/>
      <sheetName val="Rollfwd_15320_15500"/>
      <sheetName val="16100_Rollfwd"/>
      <sheetName val="A180543"/>
      <sheetName val="A20110"/>
      <sheetName val="Rollfwd_20120"/>
      <sheetName val="Recon_20120"/>
      <sheetName val="Recon_20130"/>
      <sheetName val="Recon_20133"/>
      <sheetName val="Recon_20135"/>
      <sheetName val="Recon_20137"/>
      <sheetName val="A20140"/>
      <sheetName val="SALES TAX RETURN_20140"/>
      <sheetName val="Rollfwd_20170"/>
      <sheetName val="Recon_20170"/>
      <sheetName val="Recon_20175"/>
      <sheetName val="Recon_20177"/>
      <sheetName val="Detail_20320"/>
      <sheetName val="Rollfwd_20325"/>
      <sheetName val="Recon_20325"/>
      <sheetName val="A20330"/>
      <sheetName val="RECON 20335"/>
      <sheetName val="RECON_20340"/>
      <sheetName val="DETAILED 20360"/>
      <sheetName val="recon 20365"/>
      <sheetName val="recon 20375"/>
      <sheetName val="A21100 &amp; A21250"/>
      <sheetName val="21250_92 Bond"/>
      <sheetName val="21250_94 Bond"/>
      <sheetName val="21250_R. Vaccarezza"/>
      <sheetName val="21250_BOND DIS AMORT"/>
      <sheetName val="A21390"/>
      <sheetName val="Recon 22104"/>
      <sheetName val="Recon 22105"/>
      <sheetName val="Recon 22109"/>
      <sheetName val="Recon 22205 "/>
      <sheetName val="Recon 22206"/>
      <sheetName val="Recon_30XXXX"/>
      <sheetName val="Recon 150543 Revised"/>
      <sheetName val="170001 DL 121999"/>
      <sheetName val="Rollfwd_170001"/>
      <sheetName val="A170001"/>
      <sheetName val="Rollfwd_170050"/>
      <sheetName val="A170050"/>
      <sheetName val="Rollfwd_171170"/>
      <sheetName val="A171170"/>
      <sheetName val="Rollfwd_171500"/>
      <sheetName val="A171500"/>
      <sheetName val="A171504"/>
      <sheetName val="A171531"/>
      <sheetName val="A172216"/>
      <sheetName val="A172220"/>
      <sheetName val="A172355"/>
      <sheetName val="Dec_99 DL_RAW"/>
      <sheetName val="Dec_99 DL_"/>
      <sheetName val="DEC_98 DL RAW"/>
      <sheetName val="DEC_98 DL "/>
      <sheetName val="Sheet4"/>
      <sheetName val="Sheet4 (2)"/>
      <sheetName val="XXXXXX"/>
      <sheetName val="BU NAMES"/>
      <sheetName val="PS BS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picor"/>
      <sheetName val="Blank Recon"/>
    </sheetNames>
    <sheetDataSet>
      <sheetData sheetId="0">
        <row r="8">
          <cell r="J8" t="str">
            <v>ReconBook</v>
          </cell>
        </row>
        <row r="21">
          <cell r="U21">
            <v>0.1</v>
          </cell>
        </row>
      </sheetData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asha Leffler" refreshedDate="44344.465746064816" createdVersion="6" refreshedVersion="6" minRefreshableVersion="3" recordCount="527">
  <cacheSource type="worksheet">
    <worksheetSource ref="B19:AM546" sheet="COVID EXPENSES"/>
  </cacheSource>
  <cacheFields count="38">
    <cacheField name="Full Account" numFmtId="0">
      <sharedItems count="37">
        <s v="50065-2111-000-19"/>
        <s v="70165-2111-000-19"/>
        <s v="52125-2111-000-19"/>
        <s v="70185-2111-000-19"/>
        <s v="50036-2111-000-19"/>
        <s v="50050-2111-000-19"/>
        <s v="52036-2111-000-19"/>
        <s v="52050-2111-000-19"/>
        <s v="55036-2111-000-19"/>
        <s v="55050-2111-000-19"/>
        <s v="56036-2111-000-19"/>
        <s v="56050-2111-000-19"/>
        <s v="70036-2111-000-19"/>
        <s v="70050-2111-000-19"/>
        <s v="50086-2111-000-19"/>
        <s v="70210-2111-000-19"/>
        <s v="50036-2111-100-19"/>
        <s v="50036-2111-200-19"/>
        <s v="50036-2111-201-19"/>
        <s v="50036-2111-210-19"/>
        <s v="50036-2111-300-19"/>
        <s v="50036-2111-500-19"/>
        <s v="52065-2111-000-19"/>
        <s v="56036-2111-700-19"/>
        <s v="50020-2111-000-19"/>
        <s v="52020-2111-000-19"/>
        <s v="57125-2111-000-19"/>
        <s v="52086-2111-000-19"/>
        <s v="52165-2111-000-19"/>
        <s v="57147-2111-000-19"/>
        <s v="70105-2111-000-19"/>
        <s v="52200-2111-000-19"/>
        <s v="55086-2111-000-19"/>
        <s v="55020-2111-000-19"/>
        <s v="70020-2111-000-19"/>
        <s v="52120-2111-000-19"/>
        <s v="56201-2111-000-19"/>
      </sharedItems>
    </cacheField>
    <cacheField name="Date" numFmtId="14">
      <sharedItems containsSemiMixedTypes="0" containsNonDate="0" containsDate="1" containsString="0" minDate="2020-03-31T00:00:00" maxDate="2021-03-01T00:00:00"/>
    </cacheField>
    <cacheField name="Amount USD" numFmtId="40">
      <sharedItems containsSemiMixedTypes="0" containsString="0" containsNumber="1" minValue="-38400" maxValue="43600"/>
    </cacheField>
    <cacheField name="Amount CAD" numFmtId="40">
      <sharedItems containsSemiMixedTypes="0" containsString="0" containsNumber="1" containsInteger="1" minValue="0" maxValue="0"/>
    </cacheField>
    <cacheField name="Nat Currency" numFmtId="40">
      <sharedItems/>
    </cacheField>
    <cacheField name="Journal Control Num" numFmtId="0">
      <sharedItems/>
    </cacheField>
    <cacheField name="Psted*" numFmtId="0">
      <sharedItems/>
    </cacheField>
    <cacheField name="Journal Description" numFmtId="0">
      <sharedItems/>
    </cacheField>
    <cacheField name="User" numFmtId="0">
      <sharedItems/>
    </cacheField>
    <cacheField name="R/Type" numFmtId="0">
      <sharedItems/>
    </cacheField>
    <cacheField name="Vendor Code" numFmtId="0">
      <sharedItems containsBlank="1"/>
    </cacheField>
    <cacheField name="One Time Vendor" numFmtId="0">
      <sharedItems containsNonDate="0" containsString="0" containsBlank="1"/>
    </cacheField>
    <cacheField name="Further Description" numFmtId="0">
      <sharedItems count="108">
        <s v="B2:2020-07:ER Wages"/>
        <s v="B2:2020-07:Expense Reimbursement"/>
        <s v="B2:2020-8:ER Wages"/>
        <s v="HERBSPRO~DONALD KENNEY"/>
        <s v="UPS 1Z200YY80399640776~TRAVIS ROBERTSON"/>
        <s v="2020-03 - Covid19 Bonus Accrual"/>
        <s v="AMZN MKTP US DD8673BM3~LYNSIE BRESSLER"/>
        <s v="COVID-19 Sanitizer/gloves"/>
        <s v="COVID-19 Hand Sanitizer"/>
        <s v="B2:2020-08:CV19 Bonus"/>
        <s v="B2:2020-08:ER Wages"/>
        <s v="B2:2020-09:ER Wages"/>
        <s v="B2:2020-09:CV19 Bonus"/>
        <s v="IN  ONE SLEEP COMPANY - S~MARIA FINLEY"/>
        <s v="BARGREEN ELLINGSON #16~DONALD KENNEY"/>
        <s v="Adam Balogh -PPE for Sites - Covid19"/>
        <s v="2020-04 - Covid19 Bonus Accrual"/>
        <s v="2020-04 Reclass Covid"/>
        <s v="COVID-19 Driver Sanitizer"/>
        <s v="WHISLER COMMUNICATIONS"/>
        <s v="B2:2020-10:ER Wages"/>
        <s v="B2:2020-10:Expense Reimbursement"/>
        <s v="B2:2020-10:CV19 Bonus"/>
        <s v="B2:2020-12:ER Wages"/>
        <s v="B2:2020-11:CV19 Bonus"/>
        <s v="B2:2020-12:CV19 Bonus"/>
        <s v="B2:2020-11:Expense Reimbursement"/>
        <s v="B2:2020-12:Expense Reimbursement"/>
        <s v="AMZN MKTP US M785P5QB2~LYNSIE BRESSLER"/>
        <s v="Gaiters"/>
        <s v="Hand sanitizer mixing buckets, 1320"/>
        <s v="COVID-19 Parts Stocks"/>
        <s v="Door signs, Order# 37560202"/>
        <s v="DOOR STOPS, Inv# 9534139556"/>
        <s v="DOOR FOOT OPENERS"/>
        <s v="Materials for traffic control in bldg, I"/>
        <s v="wireless warehouse buzzers for the weld"/>
        <s v="Safety Mirrors, Order# 36859433"/>
        <s v="2020-05 Reclass Internet Reimb."/>
        <s v="2020-05 - Covid19 Bonus Accrual"/>
        <s v="2020-05 - Reverse Covid19 Bonus Accrual"/>
        <s v="B2:2020-13:ER Wages"/>
        <s v="B2:2020-13:CV19 Bonus"/>
        <s v="B2:2020-13:Expense Reimbursement"/>
        <s v="B2:2020-14:ER Wages"/>
        <s v="B2:2020-14:Expense Reimbursement"/>
        <s v="AMZN MKTP US MY6CG5XT0 AM~LYNSIE BRESSLE"/>
        <s v="AMZN MKTP US MY1GS4XK0 AM~LYNSIE BRESSLE"/>
        <s v="COLE GRAPHIC SOLUTIONS~DONALD KENNEY"/>
        <s v="COVID-19 Supplies"/>
        <s v="COVID-19 Signs"/>
        <s v="AMZN MKTP US MJ1AG7PV1~LYNSIE BRESSLER"/>
        <s v="B2:2020-15:ER Wages"/>
        <s v="B2:2020-15:Expense Reimbursement"/>
        <s v="B2:2020-16:ER Wages"/>
        <s v="B2:2020-16:Expense Reimbursement"/>
        <s v="B2:2020-17:ER Wages"/>
        <s v="B2:2020-17:Expense Reimbursement"/>
        <s v="B2:2020-18:ER Wages"/>
        <s v="B2:2020-18:Expense Reimbursement"/>
        <s v="12001-2111-000-00"/>
        <s v="B2:2020-19:ER Wages"/>
        <s v="B2:2020-19:Expense Reimbursement"/>
        <s v="B2:2020-20:ER Wages"/>
        <s v="B2:2020-20:Expense Reimbursement"/>
        <s v="B2:2020-21:ER Wages"/>
        <s v="B2:2020-21:Expense Reimbursement"/>
        <s v="B2:2020-22:ER Wages"/>
        <s v="B2:2020-22:Expense Reimbursement"/>
        <s v="B2:2020-23:ER Wages"/>
        <s v="B2:2020-23:Expense Reimbursement"/>
        <s v="CHUCKALS OFFICE PRODUCTS~DONALD KENNEY"/>
        <s v="AMZN MKTP US GF8T74093~LYNSIE BRESSLER"/>
        <s v="B2:2020-24:ER Wages"/>
        <s v="B2:2020-24:Expense Reimbursement"/>
        <s v="B2:2020-25:ER Wages"/>
        <s v="B2:2020-25:Expense Reimbursement"/>
        <s v="B2:Medicare_ThankYou"/>
        <s v="B2:OASDI_ThankYou"/>
        <s v="B2: ThankYou Bonus"/>
        <s v="B2:Washington Paid Family &amp; Medical Leav"/>
        <s v="B2:FUI_ThankYou"/>
        <s v="B2:SUI_ThankYou"/>
        <s v="2020-11 DMR True Up"/>
        <s v="GRAINGER~DONALD KENNEY"/>
        <s v="RITE AID 06232~BRADLEY SMITH"/>
        <s v="B2:2020-26:ER Wages"/>
        <s v="B2:2020-26:Expense Reimbursement"/>
        <s v="B2:2020-27:ER Wages"/>
        <s v="B2:2020-27:Expense Reimbursement"/>
        <s v="B2:2021-1:ER Wages"/>
        <s v="ULINE   SHIP SUPPLIES~DONALD KENNEY"/>
        <s v="2020-12 DMR True Up"/>
        <s v="BLUETARP FINANCIAL INC"/>
        <s v="Benny Barnes -Parts to install COVID Spr"/>
        <s v="Benny Barnes -Supplies to mount Covid-19"/>
        <s v="Donald Kenney -Covid temp screening plan"/>
        <s v="B2:2021-01:ER Wages"/>
        <s v="B2:2021-01:Expense Reimbursement"/>
        <s v="B2:2021-02:ER Wages"/>
        <s v="B2:2021-02:Expense Reimbursement"/>
        <s v="B2:2021-3:ER Wages"/>
        <s v="B2:2021-03:ER Wages"/>
        <s v="B2:2021-03:Expense Reimbursement"/>
        <s v="B2:2021-04:ER Wages"/>
        <s v="B2:2021-04:Expense Reimbursement"/>
        <s v="50% B2:2021-04:ER Wages"/>
        <s v="50% B2:2021-04:Expense Reimbursement"/>
      </sharedItems>
    </cacheField>
    <cacheField name="Date Doc" numFmtId="164">
      <sharedItems containsNonDate="0" containsDate="1" containsString="0" containsBlank="1" minDate="2020-03-31T00:00:00" maxDate="2021-01-06T00:00:00"/>
    </cacheField>
    <cacheField name="Doc Desc" numFmtId="0">
      <sharedItems containsBlank="1"/>
    </cacheField>
    <cacheField name="Doc Ctrl Num" numFmtId="0">
      <sharedItems containsBlank="1" containsMixedTypes="1" containsNumber="1" containsInteger="1" minValue="4709" maxValue="4709"/>
    </cacheField>
    <cacheField name="Po Ctrl Num" numFmtId="0">
      <sharedItems containsBlank="1"/>
    </cacheField>
    <cacheField name="Vendor Order Num" numFmtId="0">
      <sharedItems containsNonDate="0" containsString="0" containsBlank="1"/>
    </cacheField>
    <cacheField name="Ticket Num" numFmtId="0">
      <sharedItems containsNonDate="0" containsString="0" containsBlank="1"/>
    </cacheField>
    <cacheField name="Document 2" numFmtId="0">
      <sharedItems/>
    </cacheField>
    <cacheField name="Document 1" numFmtId="0">
      <sharedItems/>
    </cacheField>
    <cacheField name="Class Code" numFmtId="0">
      <sharedItems containsString="0" containsBlank="1" containsNumber="1" containsInteger="1" minValue="2111" maxValue="2111"/>
    </cacheField>
    <cacheField name="Date Entered" numFmtId="14">
      <sharedItems containsSemiMixedTypes="0" containsNonDate="0" containsDate="1" containsString="0" minDate="2020-04-01T00:00:00" maxDate="2021-03-05T00:00:00"/>
    </cacheField>
    <cacheField name="Date Posted" numFmtId="14">
      <sharedItems containsSemiMixedTypes="0" containsNonDate="0" containsDate="1" containsString="0" minDate="2020-04-01T00:00:00" maxDate="2021-03-05T00:00:00"/>
    </cacheField>
    <cacheField name="Amt Net" numFmtId="0">
      <sharedItems containsString="0" containsBlank="1" containsNumber="1" minValue="28.58" maxValue="235646"/>
    </cacheField>
    <cacheField name="Date Due" numFmtId="14">
      <sharedItems containsNonDate="0" containsDate="1" containsString="0" containsBlank="1" minDate="2020-04-30T00:00:00" maxDate="2021-02-20T00:00:00"/>
    </cacheField>
    <cacheField name="Database" numFmtId="0">
      <sharedItems/>
    </cacheField>
    <cacheField name="Reversing Flag" numFmtId="0">
      <sharedItems containsSemiMixedTypes="0" containsString="0" containsNumber="1" containsInteger="1" minValue="0" maxValue="0"/>
    </cacheField>
    <cacheField name="Hold Flag" numFmtId="0">
      <sharedItems containsSemiMixedTypes="0" containsString="0" containsNumber="1" containsInteger="1" minValue="0" maxValue="0"/>
    </cacheField>
    <cacheField name="Recurring Flag" numFmtId="0">
      <sharedItems containsSemiMixedTypes="0" containsString="0" containsNumber="1" containsInteger="1" minValue="0" maxValue="0"/>
    </cacheField>
    <cacheField name="Repeating Flag" numFmtId="0">
      <sharedItems containsSemiMixedTypes="0" containsString="0" containsNumber="1" containsInteger="1" minValue="0" maxValue="0"/>
    </cacheField>
    <cacheField name="Type Flag" numFmtId="0">
      <sharedItems containsSemiMixedTypes="0" containsString="0" containsNumber="1" containsInteger="1" minValue="0" maxValue="5"/>
    </cacheField>
    <cacheField name="Posted Flag" numFmtId="0">
      <sharedItems containsSemiMixedTypes="0" containsString="0" containsNumber="1" containsInteger="1" minValue="1" maxValue="1"/>
    </cacheField>
    <cacheField name="Seg1" numFmtId="0">
      <sharedItems containsSemiMixedTypes="0" containsString="0" containsNumber="1" containsInteger="1" minValue="50020" maxValue="70210"/>
    </cacheField>
    <cacheField name="Seg2" numFmtId="0">
      <sharedItems containsSemiMixedTypes="0" containsString="0" containsNumber="1" containsInteger="1" minValue="2111" maxValue="2111"/>
    </cacheField>
    <cacheField name="Seg3" numFmtId="0">
      <sharedItems containsSemiMixedTypes="0" containsString="0" containsNumber="1" containsInteger="1" minValue="0" maxValue="700"/>
    </cacheField>
    <cacheField name="Seg4" numFmtId="0">
      <sharedItems containsSemiMixedTypes="0" containsString="0" containsNumber="1" containsInteger="1" minValue="19" maxValue="19"/>
    </cacheField>
    <cacheField name="Staged_RefCod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27">
  <r>
    <x v="0"/>
    <d v="2020-03-31T00:00:00"/>
    <n v="942.4"/>
    <n v="0"/>
    <s v="USD"/>
    <s v="JRNLWA00406579"/>
    <s v="P"/>
    <s v="B2 3/18/20 - 3/31/20"/>
    <s v="LaurenTi"/>
    <s v="0/JE IC"/>
    <m/>
    <m/>
    <x v="0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50065"/>
    <n v="2111"/>
    <n v="0"/>
    <n v="19"/>
    <m/>
  </r>
  <r>
    <x v="1"/>
    <d v="2020-03-31T00:00:00"/>
    <n v="675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11"/>
    <n v="0"/>
    <n v="19"/>
    <m/>
  </r>
  <r>
    <x v="1"/>
    <d v="2020-03-31T00:00:00"/>
    <n v="25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11"/>
    <n v="0"/>
    <n v="19"/>
    <m/>
  </r>
  <r>
    <x v="1"/>
    <d v="2020-03-31T00:00:00"/>
    <n v="75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11"/>
    <n v="0"/>
    <n v="19"/>
    <m/>
  </r>
  <r>
    <x v="1"/>
    <d v="2020-03-31T00:00:00"/>
    <n v="25"/>
    <n v="0"/>
    <s v="USD"/>
    <s v="JRNLWA00406579"/>
    <s v="P"/>
    <s v="B2 3/18/20 - 3/31/20"/>
    <s v="LaurenTi"/>
    <s v="0/JE IC"/>
    <m/>
    <m/>
    <x v="1"/>
    <m/>
    <m/>
    <m/>
    <m/>
    <m/>
    <m/>
    <s v="JRNL00968154"/>
    <s v="JRNL00968154"/>
    <m/>
    <d v="2020-04-01T00:00:00"/>
    <d v="2020-04-01T00:00:00"/>
    <m/>
    <m/>
    <s v="wci_wa"/>
    <n v="0"/>
    <n v="0"/>
    <n v="0"/>
    <n v="0"/>
    <n v="0"/>
    <n v="1"/>
    <n v="70165"/>
    <n v="2111"/>
    <n v="0"/>
    <n v="19"/>
    <m/>
  </r>
  <r>
    <x v="0"/>
    <d v="2020-03-31T00:00:00"/>
    <n v="424"/>
    <n v="0"/>
    <s v="USD"/>
    <s v="JRNLWA00406591"/>
    <s v="P"/>
    <s v="2020-03 B2 Hourly In progress"/>
    <s v="LaurenTi"/>
    <s v="0/JE IC"/>
    <m/>
    <m/>
    <x v="2"/>
    <m/>
    <m/>
    <m/>
    <m/>
    <m/>
    <m/>
    <s v="JRNL00968177"/>
    <s v="JRNL00968177"/>
    <m/>
    <d v="2020-04-01T00:00:00"/>
    <d v="2020-04-01T00:00:00"/>
    <m/>
    <m/>
    <s v="wci_wa"/>
    <n v="0"/>
    <n v="0"/>
    <n v="0"/>
    <n v="0"/>
    <n v="0"/>
    <n v="1"/>
    <n v="50065"/>
    <n v="2111"/>
    <n v="0"/>
    <n v="19"/>
    <m/>
  </r>
  <r>
    <x v="2"/>
    <d v="2020-03-31T00:00:00"/>
    <n v="116"/>
    <n v="0"/>
    <s v="USD"/>
    <s v="JRNLWA00406648"/>
    <s v="P"/>
    <s v="Pcard Activity - March"/>
    <s v="HeatherWe"/>
    <s v="0/JE IC"/>
    <m/>
    <m/>
    <x v="3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52125"/>
    <n v="2111"/>
    <n v="0"/>
    <n v="19"/>
    <m/>
  </r>
  <r>
    <x v="3"/>
    <d v="2020-03-31T00:00:00"/>
    <n v="16.47"/>
    <n v="0"/>
    <s v="USD"/>
    <s v="JRNLWA00406648"/>
    <s v="P"/>
    <s v="Pcard Activity - March"/>
    <s v="HeatherWe"/>
    <s v="0/JE IC"/>
    <m/>
    <m/>
    <x v="4"/>
    <m/>
    <m/>
    <m/>
    <m/>
    <m/>
    <m/>
    <s v="JRNL00968345"/>
    <s v="JRNL00968345"/>
    <m/>
    <d v="2020-04-02T00:00:00"/>
    <d v="2020-04-02T00:00:00"/>
    <m/>
    <m/>
    <s v="wci_wa"/>
    <n v="0"/>
    <n v="0"/>
    <n v="0"/>
    <n v="0"/>
    <n v="0"/>
    <n v="1"/>
    <n v="70185"/>
    <n v="2111"/>
    <n v="0"/>
    <n v="19"/>
    <m/>
  </r>
  <r>
    <x v="4"/>
    <d v="2020-03-31T00:00:00"/>
    <n v="18394.18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36"/>
    <n v="2111"/>
    <n v="0"/>
    <n v="19"/>
    <m/>
  </r>
  <r>
    <x v="5"/>
    <d v="2020-03-31T00:00:00"/>
    <n v="1407.16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0050"/>
    <n v="2111"/>
    <n v="0"/>
    <n v="19"/>
    <m/>
  </r>
  <r>
    <x v="6"/>
    <d v="2020-03-31T00:00:00"/>
    <n v="2990.68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36"/>
    <n v="2111"/>
    <n v="0"/>
    <n v="19"/>
    <m/>
  </r>
  <r>
    <x v="7"/>
    <d v="2020-03-31T00:00:00"/>
    <n v="228.79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2050"/>
    <n v="2111"/>
    <n v="0"/>
    <n v="19"/>
    <m/>
  </r>
  <r>
    <x v="8"/>
    <d v="2020-03-31T00:00:00"/>
    <n v="807.04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5036"/>
    <n v="2111"/>
    <n v="0"/>
    <n v="19"/>
    <m/>
  </r>
  <r>
    <x v="9"/>
    <d v="2020-03-31T00:00:00"/>
    <n v="61.74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5050"/>
    <n v="2111"/>
    <n v="0"/>
    <n v="19"/>
    <m/>
  </r>
  <r>
    <x v="10"/>
    <d v="2020-03-31T00:00:00"/>
    <n v="1050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36"/>
    <n v="2111"/>
    <n v="0"/>
    <n v="19"/>
    <m/>
  </r>
  <r>
    <x v="11"/>
    <d v="2020-03-31T00:00:00"/>
    <n v="80.33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56050"/>
    <n v="2111"/>
    <n v="0"/>
    <n v="19"/>
    <m/>
  </r>
  <r>
    <x v="12"/>
    <d v="2020-03-31T00:00:00"/>
    <n v="2985.58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36"/>
    <n v="2111"/>
    <n v="0"/>
    <n v="19"/>
    <m/>
  </r>
  <r>
    <x v="13"/>
    <d v="2020-03-31T00:00:00"/>
    <n v="228.4"/>
    <n v="0"/>
    <s v="USD"/>
    <s v="JRNLWA00407351"/>
    <s v="P"/>
    <s v="2020-03 - Covid19 Bonus Accrua"/>
    <s v="HeatherWe"/>
    <s v="0/JE IC"/>
    <m/>
    <m/>
    <x v="5"/>
    <m/>
    <m/>
    <m/>
    <m/>
    <m/>
    <m/>
    <s v="JRNL00969847"/>
    <s v="JRNL00969847"/>
    <m/>
    <d v="2020-04-07T00:00:00"/>
    <d v="2020-04-07T00:00:00"/>
    <m/>
    <m/>
    <s v="wci_wa"/>
    <n v="0"/>
    <n v="0"/>
    <n v="0"/>
    <n v="0"/>
    <n v="0"/>
    <n v="1"/>
    <n v="70050"/>
    <n v="2111"/>
    <n v="0"/>
    <n v="19"/>
    <m/>
  </r>
  <r>
    <x v="14"/>
    <d v="2020-03-31T00:00:00"/>
    <n v="411.8"/>
    <n v="0"/>
    <s v="USD"/>
    <s v="JRNLWA00407647"/>
    <s v="P"/>
    <s v="2020-03 Pcard Accrual"/>
    <s v="HeatherH"/>
    <s v="0/JE IC"/>
    <m/>
    <m/>
    <x v="6"/>
    <m/>
    <m/>
    <m/>
    <m/>
    <m/>
    <m/>
    <s v="JRNL00970285"/>
    <s v="JRNL00970285"/>
    <m/>
    <d v="2020-04-07T00:00:00"/>
    <d v="2020-04-07T00:00:00"/>
    <m/>
    <m/>
    <s v="wci_wa"/>
    <n v="0"/>
    <n v="0"/>
    <n v="0"/>
    <n v="0"/>
    <n v="0"/>
    <n v="1"/>
    <n v="50086"/>
    <n v="2111"/>
    <n v="0"/>
    <n v="19"/>
    <m/>
  </r>
  <r>
    <x v="2"/>
    <d v="2020-03-31T00:00:00"/>
    <n v="1166.8"/>
    <n v="0"/>
    <s v="USD"/>
    <s v="JRNLWA00407659"/>
    <s v="P"/>
    <s v="2020-03 Expense Recalss"/>
    <s v="HeatherH"/>
    <s v="0/JE IC"/>
    <m/>
    <m/>
    <x v="7"/>
    <m/>
    <m/>
    <m/>
    <m/>
    <m/>
    <m/>
    <s v="JRNL00970297"/>
    <s v="JRNL00970297"/>
    <m/>
    <d v="2020-04-07T00:00:00"/>
    <d v="2020-04-07T00:00:00"/>
    <m/>
    <m/>
    <s v="wci_wa"/>
    <n v="0"/>
    <n v="0"/>
    <n v="0"/>
    <n v="0"/>
    <n v="0"/>
    <n v="1"/>
    <n v="52125"/>
    <n v="2111"/>
    <n v="0"/>
    <n v="19"/>
    <m/>
  </r>
  <r>
    <x v="2"/>
    <d v="2020-03-31T00:00:00"/>
    <n v="998.02"/>
    <n v="0"/>
    <s v="USD"/>
    <s v="JRNLWA00407659"/>
    <s v="P"/>
    <s v="2020-03 Expense Recalss"/>
    <s v="HeatherH"/>
    <s v="0/JE IC"/>
    <m/>
    <m/>
    <x v="7"/>
    <m/>
    <m/>
    <m/>
    <m/>
    <m/>
    <m/>
    <s v="JRNL00970297"/>
    <s v="JRNL00970297"/>
    <m/>
    <d v="2020-04-07T00:00:00"/>
    <d v="2020-04-07T00:00:00"/>
    <m/>
    <m/>
    <s v="wci_wa"/>
    <n v="0"/>
    <n v="0"/>
    <n v="0"/>
    <n v="0"/>
    <n v="0"/>
    <n v="1"/>
    <n v="52125"/>
    <n v="2111"/>
    <n v="0"/>
    <n v="19"/>
    <m/>
  </r>
  <r>
    <x v="15"/>
    <d v="2020-03-31T00:00:00"/>
    <n v="560.08000000000004"/>
    <n v="0"/>
    <s v="USD"/>
    <s v="JRNLWA00407659"/>
    <s v="P"/>
    <s v="2020-03 Expense Recalss"/>
    <s v="HeatherH"/>
    <s v="0/JE IC"/>
    <m/>
    <m/>
    <x v="8"/>
    <m/>
    <m/>
    <m/>
    <m/>
    <m/>
    <m/>
    <s v="JRNL00970297"/>
    <s v="JRNL00970297"/>
    <m/>
    <d v="2020-04-07T00:00:00"/>
    <d v="2020-04-07T00:00:00"/>
    <m/>
    <m/>
    <s v="wci_wa"/>
    <n v="0"/>
    <n v="0"/>
    <n v="0"/>
    <n v="0"/>
    <n v="0"/>
    <n v="1"/>
    <n v="70210"/>
    <n v="2111"/>
    <n v="0"/>
    <n v="19"/>
    <m/>
  </r>
  <r>
    <x v="0"/>
    <d v="2020-04-30T00:00:00"/>
    <n v="-424"/>
    <n v="0"/>
    <s v="USD"/>
    <s v="JRNLWA00406605"/>
    <s v="P"/>
    <s v="2020-03 B2 Hourly In progress"/>
    <s v="LaurenTi"/>
    <s v="0/JE IC"/>
    <m/>
    <m/>
    <x v="2"/>
    <m/>
    <m/>
    <m/>
    <m/>
    <m/>
    <m/>
    <s v="JRNL00968177"/>
    <s v="JRNL00968200"/>
    <m/>
    <d v="2020-04-01T00:00:00"/>
    <d v="2020-04-02T00:00:00"/>
    <m/>
    <m/>
    <s v="wci_wa"/>
    <n v="0"/>
    <n v="0"/>
    <n v="0"/>
    <n v="0"/>
    <n v="5"/>
    <n v="1"/>
    <n v="50065"/>
    <n v="2111"/>
    <n v="0"/>
    <n v="19"/>
    <m/>
  </r>
  <r>
    <x v="4"/>
    <d v="2020-04-30T00:00:00"/>
    <n v="-18394.18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36"/>
    <n v="2111"/>
    <n v="0"/>
    <n v="19"/>
    <m/>
  </r>
  <r>
    <x v="5"/>
    <d v="2020-04-30T00:00:00"/>
    <n v="-1407.16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0050"/>
    <n v="2111"/>
    <n v="0"/>
    <n v="19"/>
    <m/>
  </r>
  <r>
    <x v="6"/>
    <d v="2020-04-30T00:00:00"/>
    <n v="-2990.68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36"/>
    <n v="2111"/>
    <n v="0"/>
    <n v="19"/>
    <m/>
  </r>
  <r>
    <x v="7"/>
    <d v="2020-04-30T00:00:00"/>
    <n v="-228.79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2050"/>
    <n v="2111"/>
    <n v="0"/>
    <n v="19"/>
    <m/>
  </r>
  <r>
    <x v="8"/>
    <d v="2020-04-30T00:00:00"/>
    <n v="-807.04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5036"/>
    <n v="2111"/>
    <n v="0"/>
    <n v="19"/>
    <m/>
  </r>
  <r>
    <x v="9"/>
    <d v="2020-04-30T00:00:00"/>
    <n v="-61.74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5050"/>
    <n v="2111"/>
    <n v="0"/>
    <n v="19"/>
    <m/>
  </r>
  <r>
    <x v="10"/>
    <d v="2020-04-30T00:00:00"/>
    <n v="-1050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36"/>
    <n v="2111"/>
    <n v="0"/>
    <n v="19"/>
    <m/>
  </r>
  <r>
    <x v="11"/>
    <d v="2020-04-30T00:00:00"/>
    <n v="-80.33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56050"/>
    <n v="2111"/>
    <n v="0"/>
    <n v="19"/>
    <m/>
  </r>
  <r>
    <x v="12"/>
    <d v="2020-04-30T00:00:00"/>
    <n v="-2985.58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36"/>
    <n v="2111"/>
    <n v="0"/>
    <n v="19"/>
    <m/>
  </r>
  <r>
    <x v="13"/>
    <d v="2020-04-30T00:00:00"/>
    <n v="-228.4"/>
    <n v="0"/>
    <s v="USD"/>
    <s v="JRNLWA00407426"/>
    <s v="P"/>
    <s v="2020-03 - Covid19 Bonus Accrua"/>
    <s v="HeatherH"/>
    <s v="0/JE IC"/>
    <m/>
    <m/>
    <x v="5"/>
    <m/>
    <m/>
    <m/>
    <m/>
    <m/>
    <m/>
    <s v="JRNL00969847"/>
    <s v="JRNL00969914"/>
    <m/>
    <d v="2020-04-07T00:00:00"/>
    <d v="2020-04-07T00:00:00"/>
    <m/>
    <m/>
    <s v="wci_wa"/>
    <n v="0"/>
    <n v="0"/>
    <n v="0"/>
    <n v="0"/>
    <n v="5"/>
    <n v="1"/>
    <n v="70050"/>
    <n v="2111"/>
    <n v="0"/>
    <n v="19"/>
    <m/>
  </r>
  <r>
    <x v="14"/>
    <d v="2020-04-30T00:00:00"/>
    <n v="-411.8"/>
    <n v="0"/>
    <s v="USD"/>
    <s v="JRNLWA00407746"/>
    <s v="P"/>
    <s v="2020-03 Pcard Accrual"/>
    <s v="HeatherH"/>
    <s v="0/JE IC"/>
    <m/>
    <m/>
    <x v="6"/>
    <m/>
    <m/>
    <m/>
    <m/>
    <m/>
    <m/>
    <s v="JRNL00970285"/>
    <s v="JRNL00970406"/>
    <m/>
    <d v="2020-04-07T00:00:00"/>
    <d v="2020-04-07T00:00:00"/>
    <m/>
    <m/>
    <s v="wci_wa"/>
    <n v="0"/>
    <n v="0"/>
    <n v="0"/>
    <n v="0"/>
    <n v="5"/>
    <n v="1"/>
    <n v="50086"/>
    <n v="2111"/>
    <n v="0"/>
    <n v="19"/>
    <m/>
  </r>
  <r>
    <x v="4"/>
    <d v="2020-04-30T00:00:00"/>
    <n v="2230.96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0"/>
    <n v="19"/>
    <m/>
  </r>
  <r>
    <x v="16"/>
    <d v="2020-04-30T00:00:00"/>
    <n v="10461.959999999999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100"/>
    <n v="19"/>
    <m/>
  </r>
  <r>
    <x v="17"/>
    <d v="2020-04-30T00:00:00"/>
    <n v="6667.28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200"/>
    <n v="19"/>
    <m/>
  </r>
  <r>
    <x v="18"/>
    <d v="2020-04-30T00:00:00"/>
    <n v="265.74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201"/>
    <n v="19"/>
    <m/>
  </r>
  <r>
    <x v="19"/>
    <d v="2020-04-30T00:00:00"/>
    <n v="2055.7399999999998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210"/>
    <n v="19"/>
    <m/>
  </r>
  <r>
    <x v="20"/>
    <d v="2020-04-30T00:00:00"/>
    <n v="2779.74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300"/>
    <n v="19"/>
    <m/>
  </r>
  <r>
    <x v="21"/>
    <d v="2020-04-30T00:00:00"/>
    <n v="1309.04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36"/>
    <n v="2111"/>
    <n v="500"/>
    <n v="19"/>
    <m/>
  </r>
  <r>
    <x v="0"/>
    <d v="2020-04-30T00:00:00"/>
    <n v="424"/>
    <n v="0"/>
    <s v="USD"/>
    <s v="JRNLWA00407951"/>
    <s v="P"/>
    <s v="B2 4/1/20-4/14/20"/>
    <s v="JacobMas"/>
    <s v="0/JE IC"/>
    <m/>
    <m/>
    <x v="10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1508.08"/>
    <n v="0"/>
    <s v="USD"/>
    <s v="JRNLWA00407951"/>
    <s v="P"/>
    <s v="B2 4/1/20-4/14/20"/>
    <s v="JacobMas"/>
    <s v="0/JE IC"/>
    <m/>
    <m/>
    <x v="10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0065"/>
    <n v="2111"/>
    <n v="0"/>
    <n v="19"/>
    <m/>
  </r>
  <r>
    <x v="6"/>
    <d v="2020-04-30T00:00:00"/>
    <n v="4504.9799999999996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2036"/>
    <n v="2111"/>
    <n v="0"/>
    <n v="19"/>
    <m/>
  </r>
  <r>
    <x v="22"/>
    <d v="2020-04-30T00:00:00"/>
    <n v="5768"/>
    <n v="0"/>
    <s v="USD"/>
    <s v="JRNLWA00407951"/>
    <s v="P"/>
    <s v="B2 4/1/20-4/14/20"/>
    <s v="JacobMas"/>
    <s v="0/JE IC"/>
    <m/>
    <m/>
    <x v="10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2065"/>
    <n v="2111"/>
    <n v="0"/>
    <n v="19"/>
    <m/>
  </r>
  <r>
    <x v="8"/>
    <d v="2020-04-30T00:00:00"/>
    <n v="1189.78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5036"/>
    <n v="2111"/>
    <n v="0"/>
    <n v="19"/>
    <m/>
  </r>
  <r>
    <x v="10"/>
    <d v="2020-04-30T00:00:00"/>
    <n v="500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6036"/>
    <n v="2111"/>
    <n v="0"/>
    <n v="19"/>
    <m/>
  </r>
  <r>
    <x v="23"/>
    <d v="2020-04-30T00:00:00"/>
    <n v="750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56036"/>
    <n v="2111"/>
    <n v="700"/>
    <n v="19"/>
    <m/>
  </r>
  <r>
    <x v="12"/>
    <d v="2020-04-30T00:00:00"/>
    <n v="4036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70036"/>
    <n v="2111"/>
    <n v="0"/>
    <n v="19"/>
    <m/>
  </r>
  <r>
    <x v="12"/>
    <d v="2020-04-30T00:00:00"/>
    <n v="250"/>
    <n v="0"/>
    <s v="USD"/>
    <s v="JRNLWA00407951"/>
    <s v="P"/>
    <s v="B2 4/1/20-4/14/20"/>
    <s v="JacobMas"/>
    <s v="0/JE IC"/>
    <m/>
    <m/>
    <x v="9"/>
    <m/>
    <m/>
    <m/>
    <m/>
    <m/>
    <m/>
    <s v="JRNL00971035"/>
    <s v="JRNL00971035"/>
    <m/>
    <d v="2020-04-16T00:00:00"/>
    <d v="2020-04-16T00:00:00"/>
    <m/>
    <m/>
    <s v="wci_wa"/>
    <n v="0"/>
    <n v="0"/>
    <n v="0"/>
    <n v="0"/>
    <n v="0"/>
    <n v="1"/>
    <n v="70036"/>
    <n v="2111"/>
    <n v="0"/>
    <n v="19"/>
    <m/>
  </r>
  <r>
    <x v="24"/>
    <d v="2020-04-30T00:00:00"/>
    <n v="-424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24"/>
    <d v="2020-04-30T00:00:00"/>
    <n v="424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24"/>
    <d v="2020-04-30T00:00:00"/>
    <n v="424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24"/>
    <d v="2020-04-30T00:00:00"/>
    <n v="942.4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24"/>
    <d v="2020-04-30T00:00:00"/>
    <n v="1508.08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20"/>
    <n v="2111"/>
    <n v="0"/>
    <n v="19"/>
    <m/>
  </r>
  <r>
    <x v="0"/>
    <d v="2020-04-30T00:00:00"/>
    <n v="424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-424"/>
    <n v="0"/>
    <s v="USD"/>
    <s v="JRNLWA00408128"/>
    <s v="P"/>
    <s v="Recode ER wages to Labor"/>
    <s v="HelenaK"/>
    <s v="0/JE IC"/>
    <m/>
    <m/>
    <x v="2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-424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-942.4"/>
    <n v="0"/>
    <s v="USD"/>
    <s v="JRNLWA00408128"/>
    <s v="P"/>
    <s v="Recode ER wages to Labor"/>
    <s v="HelenaK"/>
    <s v="0/JE IC"/>
    <m/>
    <m/>
    <x v="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0"/>
    <d v="2020-04-30T00:00:00"/>
    <n v="-1508.08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0065"/>
    <n v="2111"/>
    <n v="0"/>
    <n v="19"/>
    <m/>
  </r>
  <r>
    <x v="25"/>
    <d v="2020-04-30T00:00:00"/>
    <n v="5768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20"/>
    <n v="2111"/>
    <n v="0"/>
    <n v="19"/>
    <m/>
  </r>
  <r>
    <x v="22"/>
    <d v="2020-04-30T00:00:00"/>
    <n v="-5768"/>
    <n v="0"/>
    <s v="USD"/>
    <s v="JRNLWA00408128"/>
    <s v="P"/>
    <s v="Recode ER wages to Labor"/>
    <s v="HelenaK"/>
    <s v="0/JE IC"/>
    <m/>
    <m/>
    <x v="10"/>
    <m/>
    <m/>
    <m/>
    <m/>
    <m/>
    <m/>
    <s v="JRNL00971590"/>
    <s v="JRNL00971590"/>
    <m/>
    <d v="2020-04-30T00:00:00"/>
    <d v="2020-04-30T00:00:00"/>
    <m/>
    <m/>
    <s v="wci_wa"/>
    <n v="0"/>
    <n v="0"/>
    <n v="0"/>
    <n v="0"/>
    <n v="0"/>
    <n v="1"/>
    <n v="52065"/>
    <n v="2111"/>
    <n v="0"/>
    <n v="19"/>
    <m/>
  </r>
  <r>
    <x v="24"/>
    <d v="2020-04-30T00:00:00"/>
    <n v="1084"/>
    <n v="0"/>
    <s v="USD"/>
    <s v="JRNLWA00408225"/>
    <s v="P"/>
    <s v="B2  4/15/20-4/30/20"/>
    <s v="LaurenTi"/>
    <s v="0/JE IC"/>
    <m/>
    <m/>
    <x v="11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20"/>
    <n v="2111"/>
    <n v="0"/>
    <n v="19"/>
    <m/>
  </r>
  <r>
    <x v="4"/>
    <d v="2020-04-30T00:00:00"/>
    <n v="1845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0"/>
    <n v="19"/>
    <m/>
  </r>
  <r>
    <x v="16"/>
    <d v="2020-04-30T00:00:00"/>
    <n v="9407.74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100"/>
    <n v="19"/>
    <m/>
  </r>
  <r>
    <x v="17"/>
    <d v="2020-04-30T00:00:00"/>
    <n v="7011.3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200"/>
    <n v="19"/>
    <m/>
  </r>
  <r>
    <x v="18"/>
    <d v="2020-04-30T00:00:00"/>
    <n v="383.96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201"/>
    <n v="19"/>
    <m/>
  </r>
  <r>
    <x v="19"/>
    <d v="2020-04-30T00:00:00"/>
    <n v="3345.02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210"/>
    <n v="19"/>
    <m/>
  </r>
  <r>
    <x v="20"/>
    <d v="2020-04-30T00:00:00"/>
    <n v="2204.6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300"/>
    <n v="19"/>
    <m/>
  </r>
  <r>
    <x v="21"/>
    <d v="2020-04-30T00:00:00"/>
    <n v="1091.1400000000001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0036"/>
    <n v="2111"/>
    <n v="500"/>
    <n v="19"/>
    <m/>
  </r>
  <r>
    <x v="6"/>
    <d v="2020-04-30T00:00:00"/>
    <n v="4829.8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2036"/>
    <n v="2111"/>
    <n v="0"/>
    <n v="19"/>
    <m/>
  </r>
  <r>
    <x v="8"/>
    <d v="2020-04-30T00:00:00"/>
    <n v="1034.18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5036"/>
    <n v="2111"/>
    <n v="0"/>
    <n v="19"/>
    <m/>
  </r>
  <r>
    <x v="10"/>
    <d v="2020-04-30T00:00:00"/>
    <n v="500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6036"/>
    <n v="2111"/>
    <n v="0"/>
    <n v="19"/>
    <m/>
  </r>
  <r>
    <x v="23"/>
    <d v="2020-04-30T00:00:00"/>
    <n v="750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56036"/>
    <n v="2111"/>
    <n v="700"/>
    <n v="19"/>
    <m/>
  </r>
  <r>
    <x v="12"/>
    <d v="2020-04-30T00:00:00"/>
    <n v="3846.82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70036"/>
    <n v="2111"/>
    <n v="0"/>
    <n v="19"/>
    <m/>
  </r>
  <r>
    <x v="12"/>
    <d v="2020-04-30T00:00:00"/>
    <n v="250"/>
    <n v="0"/>
    <s v="USD"/>
    <s v="JRNLWA00408225"/>
    <s v="P"/>
    <s v="B2  4/15/20-4/30/20"/>
    <s v="LaurenTi"/>
    <s v="0/JE IC"/>
    <m/>
    <m/>
    <x v="12"/>
    <m/>
    <m/>
    <m/>
    <m/>
    <m/>
    <m/>
    <s v="JRNL00971797"/>
    <s v="JRNL00971797"/>
    <m/>
    <d v="2020-05-01T00:00:00"/>
    <d v="2020-05-01T00:00:00"/>
    <m/>
    <m/>
    <s v="wci_wa"/>
    <n v="0"/>
    <n v="0"/>
    <n v="0"/>
    <n v="0"/>
    <n v="0"/>
    <n v="1"/>
    <n v="70036"/>
    <n v="2111"/>
    <n v="0"/>
    <n v="19"/>
    <m/>
  </r>
  <r>
    <x v="14"/>
    <d v="2020-04-30T00:00:00"/>
    <n v="411.8"/>
    <n v="0"/>
    <s v="USD"/>
    <s v="JRNLWA00408249"/>
    <s v="P"/>
    <s v="Pcard Activity - April"/>
    <s v="HelenaK"/>
    <s v="0/JE IC"/>
    <m/>
    <m/>
    <x v="6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11"/>
    <n v="0"/>
    <n v="19"/>
    <m/>
  </r>
  <r>
    <x v="14"/>
    <d v="2020-04-30T00:00:00"/>
    <n v="2213.33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0086"/>
    <n v="2111"/>
    <n v="0"/>
    <n v="19"/>
    <m/>
  </r>
  <r>
    <x v="2"/>
    <d v="2020-04-30T00:00:00"/>
    <n v="61.08"/>
    <n v="0"/>
    <s v="USD"/>
    <s v="JRNLWA00408249"/>
    <s v="P"/>
    <s v="Pcard Activity - April"/>
    <s v="HelenaK"/>
    <s v="0/JE IC"/>
    <m/>
    <m/>
    <x v="14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2125"/>
    <n v="2111"/>
    <n v="0"/>
    <n v="19"/>
    <m/>
  </r>
  <r>
    <x v="26"/>
    <d v="2020-04-30T00:00:00"/>
    <n v="3060.4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11"/>
    <n v="0"/>
    <n v="19"/>
    <m/>
  </r>
  <r>
    <x v="26"/>
    <d v="2020-04-30T00:00:00"/>
    <n v="765.1"/>
    <n v="0"/>
    <s v="USD"/>
    <s v="JRNLWA00408249"/>
    <s v="P"/>
    <s v="Pcard Activity - April"/>
    <s v="HelenaK"/>
    <s v="0/JE IC"/>
    <m/>
    <m/>
    <x v="13"/>
    <m/>
    <m/>
    <m/>
    <m/>
    <m/>
    <m/>
    <s v="JRNL00971955"/>
    <s v="JRNL00971955"/>
    <m/>
    <d v="2020-05-04T00:00:00"/>
    <d v="2020-05-04T00:00:00"/>
    <m/>
    <m/>
    <s v="wci_wa"/>
    <n v="0"/>
    <n v="0"/>
    <n v="0"/>
    <n v="0"/>
    <n v="0"/>
    <n v="1"/>
    <n v="57125"/>
    <n v="2111"/>
    <n v="0"/>
    <n v="19"/>
    <m/>
  </r>
  <r>
    <x v="3"/>
    <d v="2020-04-30T00:00:00"/>
    <n v="257.55"/>
    <n v="0"/>
    <s v="USD"/>
    <s v="JRNLWA00408416"/>
    <s v="P"/>
    <s v="Workday Expense Report Apr-20"/>
    <s v="HelenaK"/>
    <s v="0/JE IC"/>
    <m/>
    <m/>
    <x v="15"/>
    <m/>
    <m/>
    <m/>
    <m/>
    <m/>
    <m/>
    <s v="JRNL00972414"/>
    <s v="JRNL00972414"/>
    <m/>
    <d v="2020-05-05T00:00:00"/>
    <d v="2020-05-05T00:00:00"/>
    <m/>
    <m/>
    <s v="wci_wa"/>
    <n v="0"/>
    <n v="0"/>
    <n v="0"/>
    <n v="0"/>
    <n v="0"/>
    <n v="1"/>
    <n v="70185"/>
    <n v="2111"/>
    <n v="0"/>
    <n v="19"/>
    <m/>
  </r>
  <r>
    <x v="4"/>
    <d v="2020-04-30T00:00:00"/>
    <n v="23032.62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36"/>
    <n v="2111"/>
    <n v="0"/>
    <n v="19"/>
    <m/>
  </r>
  <r>
    <x v="5"/>
    <d v="2020-04-30T00:00:00"/>
    <n v="1762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0050"/>
    <n v="2111"/>
    <n v="0"/>
    <n v="19"/>
    <m/>
  </r>
  <r>
    <x v="6"/>
    <d v="2020-04-30T00:00:00"/>
    <n v="3977.54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36"/>
    <n v="2111"/>
    <n v="0"/>
    <n v="19"/>
    <m/>
  </r>
  <r>
    <x v="7"/>
    <d v="2020-04-30T00:00:00"/>
    <n v="304.27999999999997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2050"/>
    <n v="2111"/>
    <n v="0"/>
    <n v="19"/>
    <m/>
  </r>
  <r>
    <x v="8"/>
    <d v="2020-04-30T00:00:00"/>
    <n v="1042.1199999999999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5036"/>
    <n v="2111"/>
    <n v="0"/>
    <n v="19"/>
    <m/>
  </r>
  <r>
    <x v="9"/>
    <d v="2020-04-30T00:00:00"/>
    <n v="79.72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5050"/>
    <n v="2111"/>
    <n v="0"/>
    <n v="19"/>
    <m/>
  </r>
  <r>
    <x v="10"/>
    <d v="2020-04-30T00:00:00"/>
    <n v="1350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36"/>
    <n v="2111"/>
    <n v="0"/>
    <n v="19"/>
    <m/>
  </r>
  <r>
    <x v="11"/>
    <d v="2020-04-30T00:00:00"/>
    <n v="103.28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56050"/>
    <n v="2111"/>
    <n v="0"/>
    <n v="19"/>
    <m/>
  </r>
  <r>
    <x v="12"/>
    <d v="2020-04-30T00:00:00"/>
    <n v="3826.56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36"/>
    <n v="2111"/>
    <n v="0"/>
    <n v="19"/>
    <m/>
  </r>
  <r>
    <x v="13"/>
    <d v="2020-04-30T00:00:00"/>
    <n v="292.73"/>
    <n v="0"/>
    <s v="USD"/>
    <s v="JRNLWA00408899"/>
    <s v="P"/>
    <s v="2020-04 - Covid19 Bonus Accrua"/>
    <s v="LaurenTi"/>
    <s v="0/JE IC"/>
    <m/>
    <m/>
    <x v="16"/>
    <m/>
    <m/>
    <m/>
    <m/>
    <m/>
    <m/>
    <s v="JRNL00973346"/>
    <s v="JRNL00973346"/>
    <m/>
    <d v="2020-05-06T00:00:00"/>
    <d v="2020-05-06T00:00:00"/>
    <m/>
    <m/>
    <s v="wci_wa"/>
    <n v="0"/>
    <n v="0"/>
    <n v="0"/>
    <n v="0"/>
    <n v="0"/>
    <n v="1"/>
    <n v="70050"/>
    <n v="2111"/>
    <n v="0"/>
    <n v="19"/>
    <m/>
  </r>
  <r>
    <x v="14"/>
    <d v="2020-04-30T00:00:00"/>
    <n v="350.36"/>
    <n v="0"/>
    <s v="USD"/>
    <s v="JRNLWA00408901"/>
    <s v="P"/>
    <s v="2020-04 Reclass Covid"/>
    <s v="LaurenTi"/>
    <s v="0/JE IC"/>
    <m/>
    <m/>
    <x v="17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0086"/>
    <n v="2111"/>
    <n v="0"/>
    <n v="19"/>
    <m/>
  </r>
  <r>
    <x v="14"/>
    <d v="2020-04-30T00:00:00"/>
    <n v="-2213.33"/>
    <n v="0"/>
    <s v="USD"/>
    <s v="JRNLWA00408901"/>
    <s v="P"/>
    <s v="2020-04 Reclass Covid"/>
    <s v="LaurenTi"/>
    <s v="0/JE IC"/>
    <m/>
    <m/>
    <x v="17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0086"/>
    <n v="2111"/>
    <n v="0"/>
    <n v="19"/>
    <m/>
  </r>
  <r>
    <x v="26"/>
    <d v="2020-04-30T00:00:00"/>
    <n v="605.57000000000005"/>
    <n v="0"/>
    <s v="USD"/>
    <s v="JRNLWA00408901"/>
    <s v="P"/>
    <s v="2020-04 Reclass Covid"/>
    <s v="LaurenTi"/>
    <s v="0/JE IC"/>
    <m/>
    <m/>
    <x v="17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7125"/>
    <n v="2111"/>
    <n v="0"/>
    <n v="19"/>
    <m/>
  </r>
  <r>
    <x v="26"/>
    <d v="2020-04-30T00:00:00"/>
    <n v="-3825.48"/>
    <n v="0"/>
    <s v="USD"/>
    <s v="JRNLWA00408901"/>
    <s v="P"/>
    <s v="2020-04 Reclass Covid"/>
    <s v="LaurenTi"/>
    <s v="0/JE IC"/>
    <m/>
    <m/>
    <x v="17"/>
    <m/>
    <m/>
    <m/>
    <m/>
    <m/>
    <m/>
    <s v="JRNL00973348"/>
    <s v="JRNL00973348"/>
    <m/>
    <d v="2020-05-06T00:00:00"/>
    <d v="2020-05-06T00:00:00"/>
    <m/>
    <m/>
    <s v="wci_wa"/>
    <n v="0"/>
    <n v="0"/>
    <n v="0"/>
    <n v="0"/>
    <n v="0"/>
    <n v="1"/>
    <n v="57125"/>
    <n v="2111"/>
    <n v="0"/>
    <n v="19"/>
    <m/>
  </r>
  <r>
    <x v="14"/>
    <d v="2020-04-30T00:00:00"/>
    <n v="336.02"/>
    <n v="0"/>
    <s v="USD"/>
    <s v="JRNLWA00408980"/>
    <s v="P"/>
    <s v="2020-04 Expense Recalss"/>
    <s v="LaurenTi"/>
    <s v="0/JE IC"/>
    <m/>
    <m/>
    <x v="18"/>
    <m/>
    <m/>
    <m/>
    <m/>
    <m/>
    <m/>
    <s v="JRNL00973533"/>
    <s v="JRNL00973533"/>
    <m/>
    <d v="2020-05-06T00:00:00"/>
    <d v="2020-05-06T00:00:00"/>
    <m/>
    <m/>
    <s v="wci_wa"/>
    <n v="0"/>
    <n v="0"/>
    <n v="0"/>
    <n v="0"/>
    <n v="0"/>
    <n v="1"/>
    <n v="50086"/>
    <n v="2111"/>
    <n v="0"/>
    <n v="19"/>
    <m/>
  </r>
  <r>
    <x v="27"/>
    <d v="2020-04-30T00:00:00"/>
    <n v="123.09"/>
    <n v="0"/>
    <s v="USD"/>
    <s v="JRNLWA00408980"/>
    <s v="P"/>
    <s v="2020-04 Expense Recalss"/>
    <s v="LaurenTi"/>
    <s v="0/JE IC"/>
    <m/>
    <m/>
    <x v="7"/>
    <m/>
    <m/>
    <m/>
    <m/>
    <m/>
    <m/>
    <s v="JRNL00973533"/>
    <s v="JRNL00973533"/>
    <m/>
    <d v="2020-05-06T00:00:00"/>
    <d v="2020-05-06T00:00:00"/>
    <m/>
    <m/>
    <s v="wci_wa"/>
    <n v="0"/>
    <n v="0"/>
    <n v="0"/>
    <n v="0"/>
    <n v="0"/>
    <n v="1"/>
    <n v="52086"/>
    <n v="2111"/>
    <n v="0"/>
    <n v="19"/>
    <m/>
  </r>
  <r>
    <x v="2"/>
    <d v="2020-04-30T00:00:00"/>
    <n v="-1166.8"/>
    <n v="0"/>
    <s v="USD"/>
    <s v="JRNLWA00408980"/>
    <s v="P"/>
    <s v="2020-04 Expense Recalss"/>
    <s v="LaurenTi"/>
    <s v="0/JE IC"/>
    <m/>
    <m/>
    <x v="7"/>
    <m/>
    <m/>
    <m/>
    <m/>
    <m/>
    <m/>
    <s v="JRNL00973533"/>
    <s v="JRNL00973533"/>
    <m/>
    <d v="2020-05-06T00:00:00"/>
    <d v="2020-05-06T00:00:00"/>
    <m/>
    <m/>
    <s v="wci_wa"/>
    <n v="0"/>
    <n v="0"/>
    <n v="0"/>
    <n v="0"/>
    <n v="0"/>
    <n v="1"/>
    <n v="52125"/>
    <n v="2111"/>
    <n v="0"/>
    <n v="19"/>
    <m/>
  </r>
  <r>
    <x v="28"/>
    <d v="2020-05-20T00:00:00"/>
    <n v="2606.2600000000002"/>
    <n v="0"/>
    <s v="USD"/>
    <s v="JRNLWA00409430"/>
    <s v="P"/>
    <s v="From Voucher Posting."/>
    <s v="asnell"/>
    <s v="0/JE IC"/>
    <s v="VUS000015262"/>
    <m/>
    <x v="19"/>
    <d v="2020-03-31T00:00:00"/>
    <s v="TRUCK RADIO SYSTEMS"/>
    <n v="4709"/>
    <s v="2111-20-0028"/>
    <m/>
    <m/>
    <s v="VO05415519"/>
    <s v="JRNL00974440"/>
    <n v="2111"/>
    <d v="2020-05-20T00:00:00"/>
    <d v="2020-05-22T00:00:00"/>
    <n v="235646"/>
    <d v="2020-04-30T00:00:00"/>
    <s v="wci_wa"/>
    <n v="0"/>
    <n v="0"/>
    <n v="0"/>
    <n v="0"/>
    <n v="0"/>
    <n v="1"/>
    <n v="52165"/>
    <n v="2111"/>
    <n v="0"/>
    <n v="19"/>
    <m/>
  </r>
  <r>
    <x v="4"/>
    <d v="2020-05-31T00:00:00"/>
    <n v="-23032.62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36"/>
    <n v="2111"/>
    <n v="0"/>
    <n v="19"/>
    <m/>
  </r>
  <r>
    <x v="5"/>
    <d v="2020-05-31T00:00:00"/>
    <n v="-1762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0050"/>
    <n v="2111"/>
    <n v="0"/>
    <n v="19"/>
    <m/>
  </r>
  <r>
    <x v="6"/>
    <d v="2020-05-31T00:00:00"/>
    <n v="-3977.54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36"/>
    <n v="2111"/>
    <n v="0"/>
    <n v="19"/>
    <m/>
  </r>
  <r>
    <x v="7"/>
    <d v="2020-05-31T00:00:00"/>
    <n v="-304.27999999999997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2050"/>
    <n v="2111"/>
    <n v="0"/>
    <n v="19"/>
    <m/>
  </r>
  <r>
    <x v="8"/>
    <d v="2020-05-31T00:00:00"/>
    <n v="-1042.1199999999999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5036"/>
    <n v="2111"/>
    <n v="0"/>
    <n v="19"/>
    <m/>
  </r>
  <r>
    <x v="9"/>
    <d v="2020-05-31T00:00:00"/>
    <n v="-79.72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5050"/>
    <n v="2111"/>
    <n v="0"/>
    <n v="19"/>
    <m/>
  </r>
  <r>
    <x v="10"/>
    <d v="2020-05-31T00:00:00"/>
    <n v="-1350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36"/>
    <n v="2111"/>
    <n v="0"/>
    <n v="19"/>
    <m/>
  </r>
  <r>
    <x v="11"/>
    <d v="2020-05-31T00:00:00"/>
    <n v="-103.28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56050"/>
    <n v="2111"/>
    <n v="0"/>
    <n v="19"/>
    <m/>
  </r>
  <r>
    <x v="12"/>
    <d v="2020-05-31T00:00:00"/>
    <n v="-3826.56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36"/>
    <n v="2111"/>
    <n v="0"/>
    <n v="19"/>
    <m/>
  </r>
  <r>
    <x v="13"/>
    <d v="2020-05-31T00:00:00"/>
    <n v="-292.73"/>
    <n v="0"/>
    <s v="USD"/>
    <s v="JRNLWA00408956"/>
    <s v="P"/>
    <s v="2020-04 - Covid19 Bonus Accrua"/>
    <s v="LaurenTi"/>
    <s v="0/JE IC"/>
    <m/>
    <m/>
    <x v="16"/>
    <m/>
    <m/>
    <m/>
    <m/>
    <m/>
    <m/>
    <s v="JRNL00973346"/>
    <s v="JRNL00973479"/>
    <m/>
    <d v="2020-05-06T00:00:00"/>
    <d v="2020-05-06T00:00:00"/>
    <m/>
    <m/>
    <s v="wci_wa"/>
    <n v="0"/>
    <n v="0"/>
    <n v="0"/>
    <n v="0"/>
    <n v="5"/>
    <n v="1"/>
    <n v="70050"/>
    <n v="2111"/>
    <n v="0"/>
    <n v="19"/>
    <m/>
  </r>
  <r>
    <x v="24"/>
    <d v="2020-05-31T00:00:00"/>
    <n v="1272"/>
    <n v="0"/>
    <s v="USD"/>
    <s v="JRNLWA00409339"/>
    <s v="P"/>
    <s v="B2  5/1/20-5/13/20"/>
    <s v="LaurenTi"/>
    <s v="0/JE IC"/>
    <m/>
    <m/>
    <x v="20"/>
    <m/>
    <m/>
    <m/>
    <m/>
    <m/>
    <m/>
    <s v="JRNL00974211"/>
    <s v="JRNL00974211"/>
    <m/>
    <d v="2020-05-13T00:00:00"/>
    <d v="2020-05-13T00:00:00"/>
    <m/>
    <m/>
    <s v="wci_wa"/>
    <n v="0"/>
    <n v="0"/>
    <n v="0"/>
    <n v="0"/>
    <n v="0"/>
    <n v="1"/>
    <n v="50020"/>
    <n v="2111"/>
    <n v="0"/>
    <n v="19"/>
    <m/>
  </r>
  <r>
    <x v="1"/>
    <d v="2020-05-31T00:00:00"/>
    <n v="775"/>
    <n v="0"/>
    <s v="USD"/>
    <s v="JRNLWA00409460"/>
    <s v="P"/>
    <s v="Rclss Exp Reimb May"/>
    <s v="HeatherWe"/>
    <s v="0/JE IC"/>
    <m/>
    <m/>
    <x v="21"/>
    <m/>
    <m/>
    <m/>
    <m/>
    <m/>
    <m/>
    <s v="JRNL00974512"/>
    <s v="JRNL00974512"/>
    <m/>
    <d v="2020-05-22T00:00:00"/>
    <d v="2020-05-22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09460"/>
    <s v="P"/>
    <s v="Rclss Exp Reimb May"/>
    <s v="HeatherWe"/>
    <s v="0/JE IC"/>
    <m/>
    <m/>
    <x v="21"/>
    <m/>
    <m/>
    <m/>
    <m/>
    <m/>
    <m/>
    <s v="JRNL00974512"/>
    <s v="JRNL00974512"/>
    <m/>
    <d v="2020-05-22T00:00:00"/>
    <d v="2020-05-22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09460"/>
    <s v="P"/>
    <s v="Rclss Exp Reimb May"/>
    <s v="HeatherWe"/>
    <s v="0/JE IC"/>
    <m/>
    <m/>
    <x v="21"/>
    <m/>
    <m/>
    <m/>
    <m/>
    <m/>
    <m/>
    <s v="JRNL00974512"/>
    <s v="JRNL00974512"/>
    <m/>
    <d v="2020-05-22T00:00:00"/>
    <d v="2020-05-22T00:00:00"/>
    <m/>
    <m/>
    <s v="wci_wa"/>
    <n v="0"/>
    <n v="0"/>
    <n v="0"/>
    <n v="0"/>
    <n v="0"/>
    <n v="1"/>
    <n v="70165"/>
    <n v="2111"/>
    <n v="0"/>
    <n v="19"/>
    <m/>
  </r>
  <r>
    <x v="4"/>
    <d v="2020-05-31T00:00:00"/>
    <n v="1760.4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9206.5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7880.18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415.76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2639.34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2569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961.16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4418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1137.0999999999999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750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6036"/>
    <n v="2111"/>
    <n v="0"/>
    <n v="19"/>
    <m/>
  </r>
  <r>
    <x v="10"/>
    <d v="2020-05-31T00:00:00"/>
    <n v="500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56036"/>
    <n v="2111"/>
    <n v="0"/>
    <n v="19"/>
    <m/>
  </r>
  <r>
    <x v="12"/>
    <d v="2020-05-31T00:00:00"/>
    <n v="250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3959.64"/>
    <n v="0"/>
    <s v="USD"/>
    <s v="JRNLWA00409734"/>
    <s v="P"/>
    <s v="Reclass CV19 Bonus"/>
    <s v="HeatherWe"/>
    <s v="0/JE IC"/>
    <m/>
    <m/>
    <x v="22"/>
    <m/>
    <m/>
    <m/>
    <m/>
    <m/>
    <m/>
    <s v="JRNL00975317"/>
    <s v="JRNL00975317"/>
    <m/>
    <d v="2020-06-02T00:00:00"/>
    <d v="2020-06-02T00:00:00"/>
    <m/>
    <m/>
    <s v="wci_wa"/>
    <n v="0"/>
    <n v="0"/>
    <n v="0"/>
    <n v="0"/>
    <n v="0"/>
    <n v="1"/>
    <n v="70036"/>
    <n v="2111"/>
    <n v="0"/>
    <n v="19"/>
    <m/>
  </r>
  <r>
    <x v="24"/>
    <d v="2020-05-31T00:00:00"/>
    <n v="640.32000000000005"/>
    <n v="0"/>
    <s v="USD"/>
    <s v="JRNLWA00410049"/>
    <s v="P"/>
    <s v="B2  5/14/20-5/31/20"/>
    <s v="HeatherWe"/>
    <s v="0/JE IC"/>
    <m/>
    <m/>
    <x v="23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20"/>
    <n v="2111"/>
    <n v="0"/>
    <n v="19"/>
    <m/>
  </r>
  <r>
    <x v="4"/>
    <d v="2020-05-31T00:00:00"/>
    <n v="1653.24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4"/>
    <d v="2020-05-31T00:00:00"/>
    <n v="869.9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9832.42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6"/>
    <d v="2020-05-31T00:00:00"/>
    <n v="4846.46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7926.74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7"/>
    <d v="2020-05-31T00:00:00"/>
    <n v="3675.1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389.76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8"/>
    <d v="2020-05-31T00:00:00"/>
    <n v="206.36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2188.2399999999998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19"/>
    <d v="2020-05-31T00:00:00"/>
    <n v="1201.68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2705.58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0"/>
    <d v="2020-05-31T00:00:00"/>
    <n v="1288.3599999999999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1056.6199999999999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21"/>
    <d v="2020-05-31T00:00:00"/>
    <n v="535.17999999999995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4309.26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6"/>
    <d v="2020-05-31T00:00:00"/>
    <n v="2216.9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1070.3399999999999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8"/>
    <d v="2020-05-31T00:00:00"/>
    <n v="571.44000000000005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500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10"/>
    <d v="2020-05-31T00:00:00"/>
    <n v="250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23"/>
    <d v="2020-05-31T00:00:00"/>
    <n v="750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23"/>
    <d v="2020-05-31T00:00:00"/>
    <n v="375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12"/>
    <d v="2020-05-31T00:00:00"/>
    <n v="3909.06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1935.02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250"/>
    <n v="0"/>
    <s v="USD"/>
    <s v="JRNLWA00410049"/>
    <s v="P"/>
    <s v="B2  5/14/20-5/31/20"/>
    <s v="HeatherWe"/>
    <s v="0/JE IC"/>
    <m/>
    <m/>
    <x v="24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125"/>
    <n v="0"/>
    <s v="USD"/>
    <s v="JRNLWA00410049"/>
    <s v="P"/>
    <s v="B2  5/14/20-5/31/20"/>
    <s v="HeatherWe"/>
    <s v="0/JE IC"/>
    <m/>
    <m/>
    <x v="25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"/>
    <d v="2020-05-31T00:00:00"/>
    <n v="750"/>
    <n v="0"/>
    <s v="USD"/>
    <s v="JRNLWA00410049"/>
    <s v="P"/>
    <s v="B2  5/14/20-5/31/20"/>
    <s v="HeatherWe"/>
    <s v="0/JE IC"/>
    <m/>
    <m/>
    <x v="26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750"/>
    <n v="0"/>
    <s v="USD"/>
    <s v="JRNLWA00410049"/>
    <s v="P"/>
    <s v="B2  5/14/20-5/31/20"/>
    <s v="HeatherWe"/>
    <s v="0/JE IC"/>
    <m/>
    <m/>
    <x v="27"/>
    <m/>
    <m/>
    <m/>
    <m/>
    <m/>
    <m/>
    <s v="JRNL00975764"/>
    <s v="JRNL0097576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24"/>
    <d v="2020-05-31T00:00:00"/>
    <n v="-1272"/>
    <n v="0"/>
    <s v="USD"/>
    <s v="JRNLWA00410164"/>
    <s v="P"/>
    <s v="REVERSE B2  5/1/20-5/13/20"/>
    <s v="JacobMas"/>
    <s v="0/JE IC"/>
    <m/>
    <m/>
    <x v="20"/>
    <m/>
    <m/>
    <m/>
    <m/>
    <m/>
    <m/>
    <s v="JRNL00975967"/>
    <s v="JRNL00975967"/>
    <m/>
    <d v="2020-06-03T00:00:00"/>
    <d v="2020-06-03T00:00:00"/>
    <m/>
    <m/>
    <s v="wci_wa"/>
    <n v="0"/>
    <n v="0"/>
    <n v="0"/>
    <n v="0"/>
    <n v="0"/>
    <n v="1"/>
    <n v="50020"/>
    <n v="2111"/>
    <n v="0"/>
    <n v="19"/>
    <m/>
  </r>
  <r>
    <x v="1"/>
    <d v="2020-05-31T00:00:00"/>
    <n v="-775"/>
    <n v="0"/>
    <s v="USD"/>
    <s v="JRNLWA00410166"/>
    <s v="P"/>
    <s v="REVERSE Rclss Exp Reimb May"/>
    <s v="JacobMas"/>
    <s v="0/JE IC"/>
    <m/>
    <m/>
    <x v="21"/>
    <m/>
    <m/>
    <m/>
    <m/>
    <m/>
    <m/>
    <s v="JRNL00975969"/>
    <s v="JRNL00975969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-25"/>
    <n v="0"/>
    <s v="USD"/>
    <s v="JRNLWA00410166"/>
    <s v="P"/>
    <s v="REVERSE Rclss Exp Reimb May"/>
    <s v="JacobMas"/>
    <s v="0/JE IC"/>
    <m/>
    <m/>
    <x v="21"/>
    <m/>
    <m/>
    <m/>
    <m/>
    <m/>
    <m/>
    <s v="JRNL00975969"/>
    <s v="JRNL00975969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-25"/>
    <n v="0"/>
    <s v="USD"/>
    <s v="JRNLWA00410166"/>
    <s v="P"/>
    <s v="REVERSE Rclss Exp Reimb May"/>
    <s v="JacobMas"/>
    <s v="0/JE IC"/>
    <m/>
    <m/>
    <x v="21"/>
    <m/>
    <m/>
    <m/>
    <m/>
    <m/>
    <m/>
    <s v="JRNL00975969"/>
    <s v="JRNL00975969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24"/>
    <d v="2020-05-31T00:00:00"/>
    <n v="1272"/>
    <n v="0"/>
    <s v="USD"/>
    <s v="JRNLWA00410176"/>
    <s v="P"/>
    <s v="Correct B2  5/1/20-5/12/20"/>
    <s v="JacobMas"/>
    <s v="0/JE IC"/>
    <m/>
    <m/>
    <x v="20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20"/>
    <n v="2111"/>
    <n v="0"/>
    <n v="19"/>
    <m/>
  </r>
  <r>
    <x v="4"/>
    <d v="2020-05-31T00:00:00"/>
    <n v="1760.4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9206.5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7880.18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415.76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2639.34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2569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961.16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4418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1137.0999999999999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500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23"/>
    <d v="2020-05-31T00:00:00"/>
    <n v="750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12"/>
    <d v="2020-05-31T00:00:00"/>
    <n v="250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3959.64"/>
    <n v="0"/>
    <s v="USD"/>
    <s v="JRNLWA00410176"/>
    <s v="P"/>
    <s v="Correct B2  5/1/20-5/12/20"/>
    <s v="JacobMas"/>
    <s v="0/JE IC"/>
    <m/>
    <m/>
    <x v="22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"/>
    <d v="2020-05-31T00:00:00"/>
    <n v="775"/>
    <n v="0"/>
    <s v="USD"/>
    <s v="JRNLWA00410176"/>
    <s v="P"/>
    <s v="Correct B2  5/1/20-5/12/20"/>
    <s v="JacobMas"/>
    <s v="0/JE IC"/>
    <m/>
    <m/>
    <x v="21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76"/>
    <s v="P"/>
    <s v="Correct B2  5/1/20-5/12/20"/>
    <s v="JacobMas"/>
    <s v="0/JE IC"/>
    <m/>
    <m/>
    <x v="21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76"/>
    <s v="P"/>
    <s v="Correct B2  5/1/20-5/12/20"/>
    <s v="JacobMas"/>
    <s v="0/JE IC"/>
    <m/>
    <m/>
    <x v="21"/>
    <m/>
    <m/>
    <m/>
    <m/>
    <m/>
    <m/>
    <s v="JRNL00975984"/>
    <s v="JRNL00975984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24"/>
    <d v="2020-05-31T00:00:00"/>
    <n v="-640.32000000000005"/>
    <n v="0"/>
    <s v="USD"/>
    <s v="JRNLWA00410183"/>
    <s v="P"/>
    <s v="REVERSE B2  5/14/20-5/31/20"/>
    <s v="JacobMas"/>
    <s v="0/JE IC"/>
    <m/>
    <m/>
    <x v="23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20"/>
    <n v="2111"/>
    <n v="0"/>
    <n v="19"/>
    <m/>
  </r>
  <r>
    <x v="4"/>
    <d v="2020-05-31T00:00:00"/>
    <n v="-1653.24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4"/>
    <d v="2020-05-31T00:00:00"/>
    <n v="-869.9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-9832.42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6"/>
    <d v="2020-05-31T00:00:00"/>
    <n v="-4846.46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-7926.74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7"/>
    <d v="2020-05-31T00:00:00"/>
    <n v="-3675.1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-389.76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8"/>
    <d v="2020-05-31T00:00:00"/>
    <n v="-206.36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-2188.2399999999998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19"/>
    <d v="2020-05-31T00:00:00"/>
    <n v="-1201.68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-2705.58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0"/>
    <d v="2020-05-31T00:00:00"/>
    <n v="-1288.3599999999999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-1056.6199999999999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21"/>
    <d v="2020-05-31T00:00:00"/>
    <n v="-535.1799999999999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-4309.26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6"/>
    <d v="2020-05-31T00:00:00"/>
    <n v="-2216.9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-1070.3399999999999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8"/>
    <d v="2020-05-31T00:00:00"/>
    <n v="-571.4400000000000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-500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10"/>
    <d v="2020-05-31T00:00:00"/>
    <n v="-250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11"/>
    <n v="0"/>
    <n v="19"/>
    <m/>
  </r>
  <r>
    <x v="23"/>
    <d v="2020-05-31T00:00:00"/>
    <n v="-750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23"/>
    <d v="2020-05-31T00:00:00"/>
    <n v="-37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56036"/>
    <n v="2111"/>
    <n v="700"/>
    <n v="19"/>
    <m/>
  </r>
  <r>
    <x v="12"/>
    <d v="2020-05-31T00:00:00"/>
    <n v="-3909.06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-1935.02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-250"/>
    <n v="0"/>
    <s v="USD"/>
    <s v="JRNLWA00410183"/>
    <s v="P"/>
    <s v="REVERSE B2  5/14/20-5/31/20"/>
    <s v="JacobMas"/>
    <s v="0/JE IC"/>
    <m/>
    <m/>
    <x v="24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-125"/>
    <n v="0"/>
    <s v="USD"/>
    <s v="JRNLWA00410183"/>
    <s v="P"/>
    <s v="REVERSE B2  5/14/20-5/31/20"/>
    <s v="JacobMas"/>
    <s v="0/JE IC"/>
    <m/>
    <m/>
    <x v="25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036"/>
    <n v="2111"/>
    <n v="0"/>
    <n v="19"/>
    <m/>
  </r>
  <r>
    <x v="1"/>
    <d v="2020-05-31T00:00:00"/>
    <n v="-750"/>
    <n v="0"/>
    <s v="USD"/>
    <s v="JRNLWA00410183"/>
    <s v="P"/>
    <s v="REVERSE B2  5/14/20-5/31/20"/>
    <s v="JacobMas"/>
    <s v="0/JE IC"/>
    <m/>
    <m/>
    <x v="26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-750"/>
    <n v="0"/>
    <s v="USD"/>
    <s v="JRNLWA00410183"/>
    <s v="P"/>
    <s v="REVERSE B2  5/14/20-5/31/20"/>
    <s v="JacobMas"/>
    <s v="0/JE IC"/>
    <m/>
    <m/>
    <x v="27"/>
    <m/>
    <m/>
    <m/>
    <m/>
    <m/>
    <m/>
    <s v="JRNL00975997"/>
    <s v="JRNL00975997"/>
    <m/>
    <d v="2020-06-03T00:00:00"/>
    <d v="2020-06-03T00:00:00"/>
    <m/>
    <m/>
    <s v="wci_wa"/>
    <n v="0"/>
    <n v="0"/>
    <n v="0"/>
    <n v="0"/>
    <n v="0"/>
    <n v="1"/>
    <n v="70165"/>
    <n v="2111"/>
    <n v="0"/>
    <n v="19"/>
    <m/>
  </r>
  <r>
    <x v="24"/>
    <d v="2020-05-31T00:00:00"/>
    <n v="640.32000000000005"/>
    <n v="0"/>
    <s v="USD"/>
    <s v="JRNLWA00410187"/>
    <s v="P"/>
    <s v="Correct B2  5/13/20-6/2/20"/>
    <s v="JacobMas"/>
    <s v="0/JE IC"/>
    <m/>
    <m/>
    <x v="23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20"/>
    <n v="2111"/>
    <n v="0"/>
    <n v="19"/>
    <m/>
  </r>
  <r>
    <x v="4"/>
    <d v="2020-05-31T00:00:00"/>
    <n v="1653.24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0"/>
    <n v="19"/>
    <m/>
  </r>
  <r>
    <x v="4"/>
    <d v="2020-05-31T00:00:00"/>
    <n v="869.9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0"/>
    <n v="19"/>
    <m/>
  </r>
  <r>
    <x v="16"/>
    <d v="2020-05-31T00:00:00"/>
    <n v="9832.42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100"/>
    <n v="19"/>
    <m/>
  </r>
  <r>
    <x v="16"/>
    <d v="2020-05-31T00:00:00"/>
    <n v="4846.46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100"/>
    <n v="19"/>
    <m/>
  </r>
  <r>
    <x v="17"/>
    <d v="2020-05-31T00:00:00"/>
    <n v="7926.74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00"/>
    <n v="19"/>
    <m/>
  </r>
  <r>
    <x v="17"/>
    <d v="2020-05-31T00:00:00"/>
    <n v="3675.1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00"/>
    <n v="19"/>
    <m/>
  </r>
  <r>
    <x v="18"/>
    <d v="2020-05-31T00:00:00"/>
    <n v="389.76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01"/>
    <n v="19"/>
    <m/>
  </r>
  <r>
    <x v="18"/>
    <d v="2020-05-31T00:00:00"/>
    <n v="206.36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01"/>
    <n v="19"/>
    <m/>
  </r>
  <r>
    <x v="19"/>
    <d v="2020-05-31T00:00:00"/>
    <n v="2188.2399999999998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10"/>
    <n v="19"/>
    <m/>
  </r>
  <r>
    <x v="19"/>
    <d v="2020-05-31T00:00:00"/>
    <n v="1201.68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210"/>
    <n v="19"/>
    <m/>
  </r>
  <r>
    <x v="20"/>
    <d v="2020-05-31T00:00:00"/>
    <n v="2705.58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300"/>
    <n v="19"/>
    <m/>
  </r>
  <r>
    <x v="20"/>
    <d v="2020-05-31T00:00:00"/>
    <n v="1288.3599999999999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300"/>
    <n v="19"/>
    <m/>
  </r>
  <r>
    <x v="21"/>
    <d v="2020-05-31T00:00:00"/>
    <n v="1056.6199999999999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500"/>
    <n v="19"/>
    <m/>
  </r>
  <r>
    <x v="21"/>
    <d v="2020-05-31T00:00:00"/>
    <n v="535.17999999999995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0036"/>
    <n v="2111"/>
    <n v="500"/>
    <n v="19"/>
    <m/>
  </r>
  <r>
    <x v="6"/>
    <d v="2020-05-31T00:00:00"/>
    <n v="4309.26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36"/>
    <n v="2111"/>
    <n v="0"/>
    <n v="19"/>
    <m/>
  </r>
  <r>
    <x v="6"/>
    <d v="2020-05-31T00:00:00"/>
    <n v="2216.9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2036"/>
    <n v="2111"/>
    <n v="0"/>
    <n v="19"/>
    <m/>
  </r>
  <r>
    <x v="8"/>
    <d v="2020-05-31T00:00:00"/>
    <n v="1070.3399999999999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5036"/>
    <n v="2111"/>
    <n v="0"/>
    <n v="19"/>
    <m/>
  </r>
  <r>
    <x v="8"/>
    <d v="2020-05-31T00:00:00"/>
    <n v="571.44000000000005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5036"/>
    <n v="2111"/>
    <n v="0"/>
    <n v="19"/>
    <m/>
  </r>
  <r>
    <x v="10"/>
    <d v="2020-05-31T00:00:00"/>
    <n v="500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11"/>
    <n v="0"/>
    <n v="19"/>
    <m/>
  </r>
  <r>
    <x v="10"/>
    <d v="2020-05-31T00:00:00"/>
    <n v="250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11"/>
    <n v="0"/>
    <n v="19"/>
    <m/>
  </r>
  <r>
    <x v="23"/>
    <d v="2020-05-31T00:00:00"/>
    <n v="750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11"/>
    <n v="700"/>
    <n v="19"/>
    <m/>
  </r>
  <r>
    <x v="23"/>
    <d v="2020-05-31T00:00:00"/>
    <n v="375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56036"/>
    <n v="2111"/>
    <n v="700"/>
    <n v="19"/>
    <m/>
  </r>
  <r>
    <x v="12"/>
    <d v="2020-05-31T00:00:00"/>
    <n v="3909.06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1935.02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250"/>
    <n v="0"/>
    <s v="USD"/>
    <s v="JRNLWA00410187"/>
    <s v="P"/>
    <s v="Correct B2  5/13/20-6/2/20"/>
    <s v="JacobMas"/>
    <s v="0/JE IC"/>
    <m/>
    <m/>
    <x v="24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11"/>
    <n v="0"/>
    <n v="19"/>
    <m/>
  </r>
  <r>
    <x v="12"/>
    <d v="2020-05-31T00:00:00"/>
    <n v="125"/>
    <n v="0"/>
    <s v="USD"/>
    <s v="JRNLWA00410187"/>
    <s v="P"/>
    <s v="Correct B2  5/13/20-6/2/20"/>
    <s v="JacobMas"/>
    <s v="0/JE IC"/>
    <m/>
    <m/>
    <x v="25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036"/>
    <n v="2111"/>
    <n v="0"/>
    <n v="19"/>
    <m/>
  </r>
  <r>
    <x v="1"/>
    <d v="2020-05-31T00:00:00"/>
    <n v="750"/>
    <n v="0"/>
    <s v="USD"/>
    <s v="JRNLWA00410187"/>
    <s v="P"/>
    <s v="Correct B2  5/13/20-6/2/20"/>
    <s v="JacobMas"/>
    <s v="0/JE IC"/>
    <m/>
    <m/>
    <x v="26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87"/>
    <s v="P"/>
    <s v="Correct B2  5/13/20-6/2/20"/>
    <s v="JacobMas"/>
    <s v="0/JE IC"/>
    <m/>
    <m/>
    <x v="26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87"/>
    <s v="P"/>
    <s v="Correct B2  5/13/20-6/2/20"/>
    <s v="JacobMas"/>
    <s v="0/JE IC"/>
    <m/>
    <m/>
    <x v="26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750"/>
    <n v="0"/>
    <s v="USD"/>
    <s v="JRNLWA00410187"/>
    <s v="P"/>
    <s v="Correct B2  5/13/20-6/2/20"/>
    <s v="JacobMas"/>
    <s v="0/JE IC"/>
    <m/>
    <m/>
    <x v="27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87"/>
    <s v="P"/>
    <s v="Correct B2  5/13/20-6/2/20"/>
    <s v="JacobMas"/>
    <s v="0/JE IC"/>
    <m/>
    <m/>
    <x v="27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"/>
    <d v="2020-05-31T00:00:00"/>
    <n v="25"/>
    <n v="0"/>
    <s v="USD"/>
    <s v="JRNLWA00410187"/>
    <s v="P"/>
    <s v="Correct B2  5/13/20-6/2/20"/>
    <s v="JacobMas"/>
    <s v="0/JE IC"/>
    <m/>
    <m/>
    <x v="27"/>
    <m/>
    <m/>
    <m/>
    <m/>
    <m/>
    <m/>
    <s v="JRNL00976001"/>
    <s v="JRNL00976001"/>
    <m/>
    <d v="2020-06-03T00:00:00"/>
    <d v="2020-06-04T00:00:00"/>
    <m/>
    <m/>
    <s v="wci_wa"/>
    <n v="0"/>
    <n v="0"/>
    <n v="0"/>
    <n v="0"/>
    <n v="0"/>
    <n v="1"/>
    <n v="70165"/>
    <n v="2111"/>
    <n v="0"/>
    <n v="19"/>
    <m/>
  </r>
  <r>
    <x v="14"/>
    <d v="2020-05-31T00:00:00"/>
    <n v="455.85"/>
    <n v="0"/>
    <s v="USD"/>
    <s v="JRNLWA00410479"/>
    <s v="P"/>
    <s v="2020-05 Pcard Accrual"/>
    <s v="LaurenTi"/>
    <s v="0/JE IC"/>
    <m/>
    <m/>
    <x v="28"/>
    <m/>
    <m/>
    <m/>
    <m/>
    <m/>
    <m/>
    <s v="JRNL00976613"/>
    <s v="JRNL00976613"/>
    <m/>
    <d v="2020-06-04T00:00:00"/>
    <d v="2020-06-04T00:00:00"/>
    <m/>
    <m/>
    <s v="wci_wa"/>
    <n v="0"/>
    <n v="0"/>
    <n v="0"/>
    <n v="0"/>
    <n v="0"/>
    <n v="1"/>
    <n v="50086"/>
    <n v="2111"/>
    <n v="0"/>
    <n v="19"/>
    <m/>
  </r>
  <r>
    <x v="14"/>
    <d v="2020-05-31T00:00:00"/>
    <n v="17.75"/>
    <n v="0"/>
    <s v="USD"/>
    <s v="JRNLWA00410489"/>
    <s v="P"/>
    <s v="2020-05 Expense Recalss"/>
    <s v="LaurenTi"/>
    <s v="0/JE IC"/>
    <m/>
    <m/>
    <x v="29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0086"/>
    <n v="2111"/>
    <n v="0"/>
    <n v="19"/>
    <m/>
  </r>
  <r>
    <x v="14"/>
    <d v="2020-05-31T00:00:00"/>
    <n v="43.96"/>
    <n v="0"/>
    <s v="USD"/>
    <s v="JRNLWA00410489"/>
    <s v="P"/>
    <s v="2020-05 Expense Recalss"/>
    <s v="LaurenTi"/>
    <s v="0/JE IC"/>
    <m/>
    <m/>
    <x v="30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0086"/>
    <n v="2111"/>
    <n v="0"/>
    <n v="19"/>
    <m/>
  </r>
  <r>
    <x v="26"/>
    <d v="2020-05-31T00:00:00"/>
    <n v="138.88999999999999"/>
    <n v="0"/>
    <s v="USD"/>
    <s v="JRNLWA00410489"/>
    <s v="P"/>
    <s v="2020-05 Expense Recalss"/>
    <s v="LaurenTi"/>
    <s v="0/JE IC"/>
    <m/>
    <m/>
    <x v="31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25"/>
    <n v="2111"/>
    <n v="0"/>
    <n v="19"/>
    <m/>
  </r>
  <r>
    <x v="26"/>
    <d v="2020-05-31T00:00:00"/>
    <n v="2971.13"/>
    <n v="0"/>
    <s v="USD"/>
    <s v="JRNLWA00410489"/>
    <s v="P"/>
    <s v="2020-05 Expense Recalss"/>
    <s v="LaurenTi"/>
    <s v="0/JE IC"/>
    <m/>
    <m/>
    <x v="31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25"/>
    <n v="2111"/>
    <n v="0"/>
    <n v="19"/>
    <m/>
  </r>
  <r>
    <x v="29"/>
    <d v="2020-05-31T00:00:00"/>
    <n v="112.53"/>
    <n v="0"/>
    <s v="USD"/>
    <s v="JRNLWA00410489"/>
    <s v="P"/>
    <s v="2020-05 Expense Recalss"/>
    <s v="LaurenTi"/>
    <s v="0/JE IC"/>
    <m/>
    <m/>
    <x v="32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141.28"/>
    <n v="0"/>
    <s v="USD"/>
    <s v="JRNLWA00410489"/>
    <s v="P"/>
    <s v="2020-05 Expense Recalss"/>
    <s v="LaurenTi"/>
    <s v="0/JE IC"/>
    <m/>
    <m/>
    <x v="33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175.56"/>
    <n v="0"/>
    <s v="USD"/>
    <s v="JRNLWA00410489"/>
    <s v="P"/>
    <s v="2020-05 Expense Recalss"/>
    <s v="LaurenTi"/>
    <s v="0/JE IC"/>
    <m/>
    <m/>
    <x v="34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62.9"/>
    <n v="0"/>
    <s v="USD"/>
    <s v="JRNLWA00410489"/>
    <s v="P"/>
    <s v="2020-05 Expense Recalss"/>
    <s v="LaurenTi"/>
    <s v="0/JE IC"/>
    <m/>
    <m/>
    <x v="35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259.32"/>
    <n v="0"/>
    <s v="USD"/>
    <s v="JRNLWA00410489"/>
    <s v="P"/>
    <s v="2020-05 Expense Recalss"/>
    <s v="LaurenTi"/>
    <s v="0/JE IC"/>
    <m/>
    <m/>
    <x v="36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29"/>
    <d v="2020-05-31T00:00:00"/>
    <n v="617.67999999999995"/>
    <n v="0"/>
    <s v="USD"/>
    <s v="JRNLWA00410489"/>
    <s v="P"/>
    <s v="2020-05 Expense Recalss"/>
    <s v="LaurenTi"/>
    <s v="0/JE IC"/>
    <m/>
    <m/>
    <x v="37"/>
    <m/>
    <m/>
    <m/>
    <m/>
    <m/>
    <m/>
    <s v="JRNL00976623"/>
    <s v="JRNL00976623"/>
    <m/>
    <d v="2020-06-04T00:00:00"/>
    <d v="2020-06-04T00:00:00"/>
    <m/>
    <m/>
    <s v="wci_wa"/>
    <n v="0"/>
    <n v="0"/>
    <n v="0"/>
    <n v="0"/>
    <n v="0"/>
    <n v="1"/>
    <n v="57147"/>
    <n v="2111"/>
    <n v="0"/>
    <n v="19"/>
    <m/>
  </r>
  <r>
    <x v="1"/>
    <d v="2020-05-31T00:00:00"/>
    <n v="825"/>
    <n v="0"/>
    <s v="USD"/>
    <s v="JRNLWA00410494"/>
    <s v="P"/>
    <s v="2020-05 Reclass Internet Reimb"/>
    <s v="LaurenTi"/>
    <s v="0/JE IC"/>
    <m/>
    <m/>
    <x v="38"/>
    <m/>
    <m/>
    <m/>
    <m/>
    <m/>
    <m/>
    <s v="JRNL00976630"/>
    <s v="JRNL00976630"/>
    <m/>
    <d v="2020-06-04T00:00:00"/>
    <d v="2020-06-04T00:00:00"/>
    <m/>
    <m/>
    <s v="wci_wa"/>
    <n v="0"/>
    <n v="0"/>
    <n v="0"/>
    <n v="0"/>
    <n v="0"/>
    <n v="1"/>
    <n v="70165"/>
    <n v="2111"/>
    <n v="0"/>
    <n v="19"/>
    <m/>
  </r>
  <r>
    <x v="4"/>
    <d v="2020-05-31T00:00:00"/>
    <n v="12781.42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0036"/>
    <n v="2111"/>
    <n v="0"/>
    <n v="19"/>
    <m/>
  </r>
  <r>
    <x v="5"/>
    <d v="2020-05-31T00:00:00"/>
    <n v="977.78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0050"/>
    <n v="2111"/>
    <n v="0"/>
    <n v="19"/>
    <m/>
  </r>
  <r>
    <x v="6"/>
    <d v="2020-05-31T00:00:00"/>
    <n v="2216.92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2036"/>
    <n v="2111"/>
    <n v="0"/>
    <n v="19"/>
    <m/>
  </r>
  <r>
    <x v="7"/>
    <d v="2020-05-31T00:00:00"/>
    <n v="169.59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2050"/>
    <n v="2111"/>
    <n v="0"/>
    <n v="19"/>
    <m/>
  </r>
  <r>
    <x v="8"/>
    <d v="2020-05-31T00:00:00"/>
    <n v="571.44000000000005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5036"/>
    <n v="2111"/>
    <n v="0"/>
    <n v="19"/>
    <m/>
  </r>
  <r>
    <x v="9"/>
    <d v="2020-05-31T00:00:00"/>
    <n v="43.72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5050"/>
    <n v="2111"/>
    <n v="0"/>
    <n v="19"/>
    <m/>
  </r>
  <r>
    <x v="10"/>
    <d v="2020-05-31T00:00:00"/>
    <n v="750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6036"/>
    <n v="2111"/>
    <n v="0"/>
    <n v="19"/>
    <m/>
  </r>
  <r>
    <x v="11"/>
    <d v="2020-05-31T00:00:00"/>
    <n v="57.38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56050"/>
    <n v="2111"/>
    <n v="0"/>
    <n v="19"/>
    <m/>
  </r>
  <r>
    <x v="12"/>
    <d v="2020-05-31T00:00:00"/>
    <n v="2060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70036"/>
    <n v="2111"/>
    <n v="0"/>
    <n v="19"/>
    <m/>
  </r>
  <r>
    <x v="13"/>
    <d v="2020-05-31T00:00:00"/>
    <n v="157.59"/>
    <n v="0"/>
    <s v="USD"/>
    <s v="JRNLWA00410495"/>
    <s v="P"/>
    <s v="2020-05 - Covid19 Bonus Accrua"/>
    <s v="LaurenTi"/>
    <s v="0/JE IC"/>
    <m/>
    <m/>
    <x v="39"/>
    <m/>
    <m/>
    <m/>
    <m/>
    <m/>
    <m/>
    <s v="JRNL00976631"/>
    <s v="JRNL00976631"/>
    <m/>
    <d v="2020-06-04T00:00:00"/>
    <d v="2020-06-04T00:00:00"/>
    <m/>
    <m/>
    <s v="wci_wa"/>
    <n v="0"/>
    <n v="0"/>
    <n v="0"/>
    <n v="0"/>
    <n v="0"/>
    <n v="1"/>
    <n v="70050"/>
    <n v="2111"/>
    <n v="0"/>
    <n v="19"/>
    <m/>
  </r>
  <r>
    <x v="4"/>
    <d v="2020-05-31T00:00:00"/>
    <n v="-12781.42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0036"/>
    <n v="2111"/>
    <n v="0"/>
    <n v="19"/>
    <m/>
  </r>
  <r>
    <x v="5"/>
    <d v="2020-05-31T00:00:00"/>
    <n v="-977.78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0050"/>
    <n v="2111"/>
    <n v="0"/>
    <n v="19"/>
    <m/>
  </r>
  <r>
    <x v="6"/>
    <d v="2020-05-31T00:00:00"/>
    <n v="-2216.92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2036"/>
    <n v="2111"/>
    <n v="0"/>
    <n v="19"/>
    <m/>
  </r>
  <r>
    <x v="7"/>
    <d v="2020-05-31T00:00:00"/>
    <n v="-169.59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2050"/>
    <n v="2111"/>
    <n v="0"/>
    <n v="19"/>
    <m/>
  </r>
  <r>
    <x v="8"/>
    <d v="2020-05-31T00:00:00"/>
    <n v="-571.44000000000005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5036"/>
    <n v="2111"/>
    <n v="0"/>
    <n v="19"/>
    <m/>
  </r>
  <r>
    <x v="9"/>
    <d v="2020-05-31T00:00:00"/>
    <n v="-43.72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5050"/>
    <n v="2111"/>
    <n v="0"/>
    <n v="19"/>
    <m/>
  </r>
  <r>
    <x v="10"/>
    <d v="2020-05-31T00:00:00"/>
    <n v="-750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6036"/>
    <n v="2111"/>
    <n v="0"/>
    <n v="19"/>
    <m/>
  </r>
  <r>
    <x v="11"/>
    <d v="2020-05-31T00:00:00"/>
    <n v="-57.38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56050"/>
    <n v="2111"/>
    <n v="0"/>
    <n v="19"/>
    <m/>
  </r>
  <r>
    <x v="12"/>
    <d v="2020-05-31T00:00:00"/>
    <n v="-2060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70036"/>
    <n v="2111"/>
    <n v="0"/>
    <n v="19"/>
    <m/>
  </r>
  <r>
    <x v="13"/>
    <d v="2020-05-31T00:00:00"/>
    <n v="-157.59"/>
    <n v="0"/>
    <s v="USD"/>
    <s v="JRNLWA00410675"/>
    <s v="P"/>
    <s v="2020-05 - Reverse Covid19 Bonu"/>
    <s v="LaurenTi"/>
    <s v="0/JE IC"/>
    <m/>
    <m/>
    <x v="40"/>
    <m/>
    <m/>
    <m/>
    <m/>
    <m/>
    <m/>
    <s v="JRNL00977080"/>
    <s v="JRNL00977080"/>
    <m/>
    <d v="2020-06-05T00:00:00"/>
    <d v="2020-06-05T00:00:00"/>
    <m/>
    <m/>
    <s v="wci_wa"/>
    <n v="0"/>
    <n v="0"/>
    <n v="0"/>
    <n v="0"/>
    <n v="0"/>
    <n v="1"/>
    <n v="70050"/>
    <n v="2111"/>
    <n v="0"/>
    <n v="19"/>
    <m/>
  </r>
  <r>
    <x v="14"/>
    <d v="2020-06-30T00:00:00"/>
    <n v="-455.85"/>
    <n v="0"/>
    <s v="USD"/>
    <s v="JRNLWA00410558"/>
    <s v="P"/>
    <s v="2020-05 Pcard Accrual"/>
    <s v="LaurenTi"/>
    <s v="0/JE IC"/>
    <m/>
    <m/>
    <x v="28"/>
    <m/>
    <m/>
    <m/>
    <m/>
    <m/>
    <m/>
    <s v="JRNL00976613"/>
    <s v="JRNL00976737"/>
    <m/>
    <d v="2020-06-04T00:00:00"/>
    <d v="2020-06-04T00:00:00"/>
    <m/>
    <m/>
    <s v="wci_wa"/>
    <n v="0"/>
    <n v="0"/>
    <n v="0"/>
    <n v="0"/>
    <n v="5"/>
    <n v="1"/>
    <n v="50086"/>
    <n v="2111"/>
    <n v="0"/>
    <n v="19"/>
    <m/>
  </r>
  <r>
    <x v="4"/>
    <d v="2020-06-30T00:00:00"/>
    <n v="-12781.42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0036"/>
    <n v="2111"/>
    <n v="0"/>
    <n v="19"/>
    <m/>
  </r>
  <r>
    <x v="5"/>
    <d v="2020-06-30T00:00:00"/>
    <n v="-977.78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0050"/>
    <n v="2111"/>
    <n v="0"/>
    <n v="19"/>
    <m/>
  </r>
  <r>
    <x v="6"/>
    <d v="2020-06-30T00:00:00"/>
    <n v="-2216.92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2036"/>
    <n v="2111"/>
    <n v="0"/>
    <n v="19"/>
    <m/>
  </r>
  <r>
    <x v="7"/>
    <d v="2020-06-30T00:00:00"/>
    <n v="-169.59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2050"/>
    <n v="2111"/>
    <n v="0"/>
    <n v="19"/>
    <m/>
  </r>
  <r>
    <x v="8"/>
    <d v="2020-06-30T00:00:00"/>
    <n v="-571.44000000000005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5036"/>
    <n v="2111"/>
    <n v="0"/>
    <n v="19"/>
    <m/>
  </r>
  <r>
    <x v="9"/>
    <d v="2020-06-30T00:00:00"/>
    <n v="-43.72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5050"/>
    <n v="2111"/>
    <n v="0"/>
    <n v="19"/>
    <m/>
  </r>
  <r>
    <x v="10"/>
    <d v="2020-06-30T00:00:00"/>
    <n v="-750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6036"/>
    <n v="2111"/>
    <n v="0"/>
    <n v="19"/>
    <m/>
  </r>
  <r>
    <x v="11"/>
    <d v="2020-06-30T00:00:00"/>
    <n v="-57.38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56050"/>
    <n v="2111"/>
    <n v="0"/>
    <n v="19"/>
    <m/>
  </r>
  <r>
    <x v="12"/>
    <d v="2020-06-30T00:00:00"/>
    <n v="-2060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70036"/>
    <n v="2111"/>
    <n v="0"/>
    <n v="19"/>
    <m/>
  </r>
  <r>
    <x v="13"/>
    <d v="2020-06-30T00:00:00"/>
    <n v="-157.59"/>
    <n v="0"/>
    <s v="USD"/>
    <s v="JRNLWA00410564"/>
    <s v="P"/>
    <s v="2020-05 - Covid19 Bonus Accrua"/>
    <s v="LaurenTi"/>
    <s v="0/JE IC"/>
    <m/>
    <m/>
    <x v="39"/>
    <m/>
    <m/>
    <m/>
    <m/>
    <m/>
    <m/>
    <s v="JRNL00976631"/>
    <s v="JRNL00976743"/>
    <m/>
    <d v="2020-06-04T00:00:00"/>
    <d v="2020-06-04T00:00:00"/>
    <m/>
    <m/>
    <s v="wci_wa"/>
    <n v="0"/>
    <n v="0"/>
    <n v="0"/>
    <n v="0"/>
    <n v="5"/>
    <n v="1"/>
    <n v="70050"/>
    <n v="2111"/>
    <n v="0"/>
    <n v="19"/>
    <m/>
  </r>
  <r>
    <x v="4"/>
    <d v="2020-06-30T00:00:00"/>
    <n v="12781.42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0036"/>
    <n v="2111"/>
    <n v="0"/>
    <n v="19"/>
    <m/>
  </r>
  <r>
    <x v="5"/>
    <d v="2020-06-30T00:00:00"/>
    <n v="977.78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0050"/>
    <n v="2111"/>
    <n v="0"/>
    <n v="19"/>
    <m/>
  </r>
  <r>
    <x v="6"/>
    <d v="2020-06-30T00:00:00"/>
    <n v="2216.92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2036"/>
    <n v="2111"/>
    <n v="0"/>
    <n v="19"/>
    <m/>
  </r>
  <r>
    <x v="7"/>
    <d v="2020-06-30T00:00:00"/>
    <n v="169.59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2050"/>
    <n v="2111"/>
    <n v="0"/>
    <n v="19"/>
    <m/>
  </r>
  <r>
    <x v="8"/>
    <d v="2020-06-30T00:00:00"/>
    <n v="571.44000000000005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5036"/>
    <n v="2111"/>
    <n v="0"/>
    <n v="19"/>
    <m/>
  </r>
  <r>
    <x v="9"/>
    <d v="2020-06-30T00:00:00"/>
    <n v="43.72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5050"/>
    <n v="2111"/>
    <n v="0"/>
    <n v="19"/>
    <m/>
  </r>
  <r>
    <x v="10"/>
    <d v="2020-06-30T00:00:00"/>
    <n v="750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6036"/>
    <n v="2111"/>
    <n v="0"/>
    <n v="19"/>
    <m/>
  </r>
  <r>
    <x v="11"/>
    <d v="2020-06-30T00:00:00"/>
    <n v="57.38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56050"/>
    <n v="2111"/>
    <n v="0"/>
    <n v="19"/>
    <m/>
  </r>
  <r>
    <x v="12"/>
    <d v="2020-06-30T00:00:00"/>
    <n v="2060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70036"/>
    <n v="2111"/>
    <n v="0"/>
    <n v="19"/>
    <m/>
  </r>
  <r>
    <x v="13"/>
    <d v="2020-06-30T00:00:00"/>
    <n v="157.59"/>
    <n v="0"/>
    <s v="USD"/>
    <s v="JRNLWA00410684"/>
    <s v="P"/>
    <s v="2020-05 - Reverse Covid19 Bonu"/>
    <s v="LaurenTi"/>
    <s v="0/JE IC"/>
    <m/>
    <m/>
    <x v="40"/>
    <m/>
    <m/>
    <m/>
    <m/>
    <m/>
    <m/>
    <s v="JRNL00977080"/>
    <s v="JRNL00977098"/>
    <m/>
    <d v="2020-06-05T00:00:00"/>
    <d v="2020-06-05T00:00:00"/>
    <m/>
    <m/>
    <s v="wci_wa"/>
    <n v="0"/>
    <n v="0"/>
    <n v="0"/>
    <n v="0"/>
    <n v="5"/>
    <n v="1"/>
    <n v="70050"/>
    <n v="2111"/>
    <n v="0"/>
    <n v="19"/>
    <m/>
  </r>
  <r>
    <x v="25"/>
    <d v="2020-06-30T00:00:00"/>
    <n v="1124.6400000000001"/>
    <n v="0"/>
    <s v="USD"/>
    <s v="JRNLWA00411019"/>
    <s v="P"/>
    <s v="B2  6/3/20-6-16/20"/>
    <s v="LaurenTi"/>
    <s v="0/JE IC"/>
    <m/>
    <m/>
    <x v="41"/>
    <m/>
    <m/>
    <m/>
    <m/>
    <m/>
    <m/>
    <s v="JRNL00978116"/>
    <s v="JRNL00978116"/>
    <m/>
    <d v="2020-07-01T00:00:00"/>
    <d v="2020-07-01T00:00:00"/>
    <m/>
    <m/>
    <s v="wci_wa"/>
    <n v="0"/>
    <n v="0"/>
    <n v="0"/>
    <n v="0"/>
    <n v="0"/>
    <n v="1"/>
    <n v="52020"/>
    <n v="2111"/>
    <n v="0"/>
    <n v="19"/>
    <m/>
  </r>
  <r>
    <x v="6"/>
    <d v="2020-06-30T00:00:00"/>
    <n v="3.46"/>
    <n v="0"/>
    <s v="USD"/>
    <s v="JRNLWA00411019"/>
    <s v="P"/>
    <s v="B2  6/3/20-6-16/20"/>
    <s v="LaurenTi"/>
    <s v="0/JE IC"/>
    <m/>
    <m/>
    <x v="42"/>
    <m/>
    <m/>
    <m/>
    <m/>
    <m/>
    <m/>
    <s v="JRNL00978116"/>
    <s v="JRNL00978116"/>
    <m/>
    <d v="2020-07-01T00:00:00"/>
    <d v="2020-07-01T00:00:00"/>
    <m/>
    <m/>
    <s v="wci_wa"/>
    <n v="0"/>
    <n v="0"/>
    <n v="0"/>
    <n v="0"/>
    <n v="0"/>
    <n v="1"/>
    <n v="52036"/>
    <n v="2111"/>
    <n v="0"/>
    <n v="19"/>
    <m/>
  </r>
  <r>
    <x v="1"/>
    <d v="2020-06-30T00:00:00"/>
    <n v="750"/>
    <n v="0"/>
    <s v="USD"/>
    <s v="JRNLWA00411019"/>
    <s v="P"/>
    <s v="B2  6/3/20-6-16/20"/>
    <s v="LaurenTi"/>
    <s v="0/JE IC"/>
    <m/>
    <m/>
    <x v="43"/>
    <m/>
    <m/>
    <m/>
    <m/>
    <m/>
    <m/>
    <s v="JRNL00978116"/>
    <s v="JRNL00978116"/>
    <m/>
    <d v="2020-07-01T00:00:00"/>
    <d v="2020-07-01T00:00:00"/>
    <m/>
    <m/>
    <s v="wci_wa"/>
    <n v="0"/>
    <n v="0"/>
    <n v="0"/>
    <n v="0"/>
    <n v="0"/>
    <n v="1"/>
    <n v="70165"/>
    <n v="2111"/>
    <n v="0"/>
    <n v="19"/>
    <m/>
  </r>
  <r>
    <x v="24"/>
    <d v="2020-06-30T00:00:00"/>
    <n v="213.04"/>
    <n v="0"/>
    <s v="USD"/>
    <s v="JRNLWA00411055"/>
    <s v="P"/>
    <s v="B2  6/24/20 to 6/30/20"/>
    <s v="LaurenTi"/>
    <s v="0/JE IC"/>
    <m/>
    <m/>
    <x v="44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50020"/>
    <n v="2111"/>
    <n v="0"/>
    <n v="19"/>
    <m/>
  </r>
  <r>
    <x v="1"/>
    <d v="2020-06-30T00:00:00"/>
    <n v="725"/>
    <n v="0"/>
    <s v="USD"/>
    <s v="JRNLWA00411055"/>
    <s v="P"/>
    <s v="B2  6/24/20 to 6/30/20"/>
    <s v="LaurenTi"/>
    <s v="0/JE IC"/>
    <m/>
    <m/>
    <x v="45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70165"/>
    <n v="2111"/>
    <n v="0"/>
    <n v="19"/>
    <m/>
  </r>
  <r>
    <x v="1"/>
    <d v="2020-06-30T00:00:00"/>
    <n v="25"/>
    <n v="0"/>
    <s v="USD"/>
    <s v="JRNLWA00411055"/>
    <s v="P"/>
    <s v="B2  6/24/20 to 6/30/20"/>
    <s v="LaurenTi"/>
    <s v="0/JE IC"/>
    <m/>
    <m/>
    <x v="45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70165"/>
    <n v="2111"/>
    <n v="0"/>
    <n v="19"/>
    <m/>
  </r>
  <r>
    <x v="1"/>
    <d v="2020-06-30T00:00:00"/>
    <n v="25"/>
    <n v="0"/>
    <s v="USD"/>
    <s v="JRNLWA00411055"/>
    <s v="P"/>
    <s v="B2  6/24/20 to 6/30/20"/>
    <s v="LaurenTi"/>
    <s v="0/JE IC"/>
    <m/>
    <m/>
    <x v="45"/>
    <m/>
    <m/>
    <m/>
    <m/>
    <m/>
    <m/>
    <s v="JRNL00978239"/>
    <s v="JRNL00978239"/>
    <m/>
    <d v="2020-07-01T00:00:00"/>
    <d v="2020-07-01T00:00:00"/>
    <m/>
    <m/>
    <s v="wci_wa"/>
    <n v="0"/>
    <n v="0"/>
    <n v="0"/>
    <n v="0"/>
    <n v="0"/>
    <n v="1"/>
    <n v="70165"/>
    <n v="2111"/>
    <n v="0"/>
    <n v="19"/>
    <m/>
  </r>
  <r>
    <x v="14"/>
    <d v="2020-06-30T00:00:00"/>
    <n v="455.85"/>
    <n v="0"/>
    <s v="USD"/>
    <s v="JRNLWA00411091"/>
    <s v="P"/>
    <s v="Pcard Activity - June"/>
    <s v="HelenaK"/>
    <s v="0/JE IC"/>
    <m/>
    <m/>
    <x v="28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11"/>
    <n v="0"/>
    <n v="19"/>
    <m/>
  </r>
  <r>
    <x v="14"/>
    <d v="2020-06-30T00:00:00"/>
    <n v="108.78"/>
    <n v="0"/>
    <s v="USD"/>
    <s v="JRNLWA00411091"/>
    <s v="P"/>
    <s v="Pcard Activity - June"/>
    <s v="HelenaK"/>
    <s v="0/JE IC"/>
    <m/>
    <m/>
    <x v="46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11"/>
    <n v="0"/>
    <n v="19"/>
    <m/>
  </r>
  <r>
    <x v="14"/>
    <d v="2020-06-30T00:00:00"/>
    <n v="26.21"/>
    <n v="0"/>
    <s v="USD"/>
    <s v="JRNLWA00411091"/>
    <s v="P"/>
    <s v="Pcard Activity - June"/>
    <s v="HelenaK"/>
    <s v="0/JE IC"/>
    <m/>
    <m/>
    <x v="47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0086"/>
    <n v="2111"/>
    <n v="0"/>
    <n v="19"/>
    <m/>
  </r>
  <r>
    <x v="26"/>
    <d v="2020-06-30T00:00:00"/>
    <n v="490.9"/>
    <n v="0"/>
    <s v="USD"/>
    <s v="JRNLWA00411091"/>
    <s v="P"/>
    <s v="Pcard Activity - June"/>
    <s v="HelenaK"/>
    <s v="0/JE IC"/>
    <m/>
    <m/>
    <x v="48"/>
    <m/>
    <m/>
    <m/>
    <m/>
    <m/>
    <m/>
    <s v="JRNL00978378"/>
    <s v="JRNL00978378"/>
    <m/>
    <d v="2020-07-02T00:00:00"/>
    <d v="2020-07-02T00:00:00"/>
    <m/>
    <m/>
    <s v="wci_wa"/>
    <n v="0"/>
    <n v="0"/>
    <n v="0"/>
    <n v="0"/>
    <n v="0"/>
    <n v="1"/>
    <n v="57125"/>
    <n v="2111"/>
    <n v="0"/>
    <n v="19"/>
    <m/>
  </r>
  <r>
    <x v="14"/>
    <d v="2020-06-30T00:00:00"/>
    <n v="1544.47"/>
    <n v="0"/>
    <s v="USD"/>
    <s v="JRNLWA00412101"/>
    <s v="P"/>
    <s v="2020-06 Expense Recalss"/>
    <s v="LaurenTi"/>
    <s v="0/JE IC"/>
    <m/>
    <m/>
    <x v="49"/>
    <m/>
    <m/>
    <m/>
    <m/>
    <m/>
    <m/>
    <s v="JRNL00980106"/>
    <s v="JRNL00980106"/>
    <m/>
    <d v="2020-07-07T00:00:00"/>
    <d v="2020-07-08T00:00:00"/>
    <m/>
    <m/>
    <s v="wci_wa"/>
    <n v="0"/>
    <n v="0"/>
    <n v="0"/>
    <n v="0"/>
    <n v="0"/>
    <n v="1"/>
    <n v="50086"/>
    <n v="2111"/>
    <n v="0"/>
    <n v="19"/>
    <m/>
  </r>
  <r>
    <x v="26"/>
    <d v="2020-06-30T00:00:00"/>
    <n v="931.67"/>
    <n v="0"/>
    <s v="USD"/>
    <s v="JRNLWA00412101"/>
    <s v="P"/>
    <s v="2020-06 Expense Recalss"/>
    <s v="LaurenTi"/>
    <s v="0/JE IC"/>
    <m/>
    <m/>
    <x v="50"/>
    <m/>
    <m/>
    <m/>
    <m/>
    <m/>
    <m/>
    <s v="JRNL00980106"/>
    <s v="JRNL00980106"/>
    <m/>
    <d v="2020-07-07T00:00:00"/>
    <d v="2020-07-08T00:00:00"/>
    <m/>
    <m/>
    <s v="wci_wa"/>
    <n v="0"/>
    <n v="0"/>
    <n v="0"/>
    <n v="0"/>
    <n v="0"/>
    <n v="1"/>
    <n v="57125"/>
    <n v="2111"/>
    <n v="0"/>
    <n v="19"/>
    <m/>
  </r>
  <r>
    <x v="14"/>
    <d v="2020-07-31T00:00:00"/>
    <n v="290.04000000000002"/>
    <n v="0"/>
    <s v="USD"/>
    <s v="JRNLWA00412755"/>
    <s v="P"/>
    <s v="Pcard Activity - July"/>
    <s v="HeatherH"/>
    <s v="0/JE IC"/>
    <m/>
    <m/>
    <x v="51"/>
    <m/>
    <m/>
    <m/>
    <m/>
    <m/>
    <m/>
    <s v="JRNL00981756"/>
    <s v="JRNL00981756"/>
    <m/>
    <d v="2020-08-04T00:00:00"/>
    <d v="2020-08-05T00:00:00"/>
    <m/>
    <m/>
    <s v="wci_wa"/>
    <n v="0"/>
    <n v="0"/>
    <n v="0"/>
    <n v="0"/>
    <n v="0"/>
    <n v="1"/>
    <n v="50086"/>
    <n v="2111"/>
    <n v="0"/>
    <n v="19"/>
    <m/>
  </r>
  <r>
    <x v="24"/>
    <d v="2020-07-31T00:00:00"/>
    <n v="2978.4"/>
    <n v="0"/>
    <s v="USD"/>
    <s v="JRNLWA00413165"/>
    <s v="P"/>
    <s v="B2  7/8/20 to 7/14/20"/>
    <s v="JacobMas"/>
    <s v="0/JE IC"/>
    <m/>
    <m/>
    <x v="52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24"/>
    <d v="2020-07-31T00:00:00"/>
    <n v="1155.5999999999999"/>
    <n v="0"/>
    <s v="USD"/>
    <s v="JRNLWA00413165"/>
    <s v="P"/>
    <s v="B2  7/8/20 to 7/14/20"/>
    <s v="JacobMas"/>
    <s v="0/JE IC"/>
    <m/>
    <m/>
    <x v="52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24"/>
    <d v="2020-07-31T00:00:00"/>
    <n v="1078.4000000000001"/>
    <n v="0"/>
    <s v="USD"/>
    <s v="JRNLWA00413165"/>
    <s v="P"/>
    <s v="B2  7/8/20 to 7/14/20"/>
    <s v="JacobMas"/>
    <s v="0/JE IC"/>
    <m/>
    <m/>
    <x v="52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25"/>
    <d v="2020-07-31T00:00:00"/>
    <n v="72"/>
    <n v="0"/>
    <s v="USD"/>
    <s v="JRNLWA00413165"/>
    <s v="P"/>
    <s v="B2  7/8/20 to 7/14/20"/>
    <s v="JacobMas"/>
    <s v="0/JE IC"/>
    <m/>
    <m/>
    <x v="52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52020"/>
    <n v="2111"/>
    <n v="0"/>
    <n v="19"/>
    <m/>
  </r>
  <r>
    <x v="1"/>
    <d v="2020-07-31T00:00:00"/>
    <n v="725"/>
    <n v="0"/>
    <s v="USD"/>
    <s v="JRNLWA00413165"/>
    <s v="P"/>
    <s v="B2  7/8/20 to 7/14/20"/>
    <s v="JacobMas"/>
    <s v="0/JE IC"/>
    <m/>
    <m/>
    <x v="53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1"/>
    <d v="2020-07-31T00:00:00"/>
    <n v="25"/>
    <n v="0"/>
    <s v="USD"/>
    <s v="JRNLWA00413165"/>
    <s v="P"/>
    <s v="B2  7/8/20 to 7/14/20"/>
    <s v="JacobMas"/>
    <s v="0/JE IC"/>
    <m/>
    <m/>
    <x v="53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1"/>
    <d v="2020-07-31T00:00:00"/>
    <n v="25"/>
    <n v="0"/>
    <s v="USD"/>
    <s v="JRNLWA00413165"/>
    <s v="P"/>
    <s v="B2  7/8/20 to 7/14/20"/>
    <s v="JacobMas"/>
    <s v="0/JE IC"/>
    <m/>
    <m/>
    <x v="53"/>
    <m/>
    <m/>
    <m/>
    <m/>
    <m/>
    <m/>
    <s v="JRNL00982761"/>
    <s v="JRNL00982761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24"/>
    <d v="2020-07-31T00:00:00"/>
    <n v="1848.96"/>
    <n v="0"/>
    <s v="USD"/>
    <s v="JRNLWA00413196"/>
    <s v="P"/>
    <s v="B2  7/22/20-7/28/20"/>
    <s v="JacobMas"/>
    <s v="0/JE IC"/>
    <m/>
    <m/>
    <x v="54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24"/>
    <d v="2020-07-31T00:00:00"/>
    <n v="1062.4000000000001"/>
    <n v="0"/>
    <s v="USD"/>
    <s v="JRNLWA00413196"/>
    <s v="P"/>
    <s v="B2  7/22/20-7/28/20"/>
    <s v="JacobMas"/>
    <s v="0/JE IC"/>
    <m/>
    <m/>
    <x v="54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50020"/>
    <n v="2111"/>
    <n v="0"/>
    <n v="19"/>
    <m/>
  </r>
  <r>
    <x v="1"/>
    <d v="2020-07-31T00:00:00"/>
    <n v="725"/>
    <n v="0"/>
    <s v="USD"/>
    <s v="JRNLWA00413196"/>
    <s v="P"/>
    <s v="B2  7/22/20-7/28/20"/>
    <s v="JacobMas"/>
    <s v="0/JE IC"/>
    <m/>
    <m/>
    <x v="55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1"/>
    <d v="2020-07-31T00:00:00"/>
    <n v="25"/>
    <n v="0"/>
    <s v="USD"/>
    <s v="JRNLWA00413196"/>
    <s v="P"/>
    <s v="B2  7/22/20-7/28/20"/>
    <s v="JacobMas"/>
    <s v="0/JE IC"/>
    <m/>
    <m/>
    <x v="55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1"/>
    <d v="2020-07-31T00:00:00"/>
    <n v="25"/>
    <n v="0"/>
    <s v="USD"/>
    <s v="JRNLWA00413196"/>
    <s v="P"/>
    <s v="B2  7/22/20-7/28/20"/>
    <s v="JacobMas"/>
    <s v="0/JE IC"/>
    <m/>
    <m/>
    <x v="55"/>
    <m/>
    <m/>
    <m/>
    <m/>
    <m/>
    <m/>
    <s v="JRNL00982850"/>
    <s v="JRNL00982850"/>
    <m/>
    <d v="2020-08-06T00:00:00"/>
    <d v="2020-08-06T00:00:00"/>
    <m/>
    <m/>
    <s v="wci_wa"/>
    <n v="0"/>
    <n v="0"/>
    <n v="0"/>
    <n v="0"/>
    <n v="0"/>
    <n v="1"/>
    <n v="70165"/>
    <n v="2111"/>
    <n v="0"/>
    <n v="19"/>
    <m/>
  </r>
  <r>
    <x v="26"/>
    <d v="2020-07-31T00:00:00"/>
    <n v="42"/>
    <n v="0"/>
    <s v="USD"/>
    <s v="JRNLWA00413565"/>
    <s v="P"/>
    <s v="2020-07 Expense Recalss"/>
    <s v="JacobMas"/>
    <s v="0/JE IC"/>
    <m/>
    <m/>
    <x v="49"/>
    <m/>
    <m/>
    <m/>
    <m/>
    <m/>
    <m/>
    <s v="JRNL00983379"/>
    <s v="JRNL00983379"/>
    <m/>
    <d v="2020-08-06T00:00:00"/>
    <d v="2020-08-07T00:00:00"/>
    <m/>
    <m/>
    <s v="wci_wa"/>
    <n v="0"/>
    <n v="0"/>
    <n v="0"/>
    <n v="0"/>
    <n v="0"/>
    <n v="1"/>
    <n v="57125"/>
    <n v="2111"/>
    <n v="0"/>
    <n v="19"/>
    <m/>
  </r>
  <r>
    <x v="24"/>
    <d v="2020-08-31T00:00:00"/>
    <n v="437.12"/>
    <n v="0"/>
    <s v="USD"/>
    <s v="JRNLWA00414306"/>
    <s v="P"/>
    <s v="B2  8/5/20-8/11/20"/>
    <s v="LaurenTi"/>
    <s v="0/JE IC"/>
    <m/>
    <m/>
    <x v="56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50020"/>
    <n v="2111"/>
    <n v="0"/>
    <n v="19"/>
    <m/>
  </r>
  <r>
    <x v="24"/>
    <d v="2020-08-31T00:00:00"/>
    <n v="769.68"/>
    <n v="0"/>
    <s v="USD"/>
    <s v="JRNLWA00414306"/>
    <s v="P"/>
    <s v="B2  8/5/20-8/11/20"/>
    <s v="LaurenTi"/>
    <s v="0/JE IC"/>
    <m/>
    <m/>
    <x v="56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50020"/>
    <n v="2111"/>
    <n v="0"/>
    <n v="19"/>
    <m/>
  </r>
  <r>
    <x v="1"/>
    <d v="2020-08-31T00:00:00"/>
    <n v="700"/>
    <n v="0"/>
    <s v="USD"/>
    <s v="JRNLWA00414306"/>
    <s v="P"/>
    <s v="B2  8/5/20-8/11/20"/>
    <s v="LaurenTi"/>
    <s v="0/JE IC"/>
    <m/>
    <m/>
    <x v="57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1"/>
    <d v="2020-08-31T00:00:00"/>
    <n v="25"/>
    <n v="0"/>
    <s v="USD"/>
    <s v="JRNLWA00414306"/>
    <s v="P"/>
    <s v="B2  8/5/20-8/11/20"/>
    <s v="LaurenTi"/>
    <s v="0/JE IC"/>
    <m/>
    <m/>
    <x v="57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1"/>
    <d v="2020-08-31T00:00:00"/>
    <n v="25"/>
    <n v="0"/>
    <s v="USD"/>
    <s v="JRNLWA00414306"/>
    <s v="P"/>
    <s v="B2  8/5/20-8/11/20"/>
    <s v="LaurenTi"/>
    <s v="0/JE IC"/>
    <m/>
    <m/>
    <x v="57"/>
    <m/>
    <m/>
    <m/>
    <m/>
    <m/>
    <m/>
    <s v="JRNL00985384"/>
    <s v="JRNL00985384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24"/>
    <d v="2020-08-31T00:00:00"/>
    <n v="655.68"/>
    <n v="0"/>
    <s v="USD"/>
    <s v="JRNLWA00414329"/>
    <s v="P"/>
    <s v="B2  8/19/20-8/25/20"/>
    <s v="LaurenTi"/>
    <s v="0/JE IC"/>
    <m/>
    <m/>
    <x v="58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50020"/>
    <n v="2111"/>
    <n v="0"/>
    <n v="19"/>
    <m/>
  </r>
  <r>
    <x v="1"/>
    <d v="2020-08-31T00:00:00"/>
    <n v="700"/>
    <n v="0"/>
    <s v="USD"/>
    <s v="JRNLWA00414329"/>
    <s v="P"/>
    <s v="B2  8/19/20-8/25/20"/>
    <s v="LaurenTi"/>
    <s v="0/JE IC"/>
    <m/>
    <m/>
    <x v="59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1"/>
    <d v="2020-08-31T00:00:00"/>
    <n v="25"/>
    <n v="0"/>
    <s v="USD"/>
    <s v="JRNLWA00414329"/>
    <s v="P"/>
    <s v="B2  8/19/20-8/25/20"/>
    <s v="LaurenTi"/>
    <s v="0/JE IC"/>
    <m/>
    <m/>
    <x v="59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1"/>
    <d v="2020-08-31T00:00:00"/>
    <n v="25"/>
    <n v="0"/>
    <s v="USD"/>
    <s v="JRNLWA00414329"/>
    <s v="P"/>
    <s v="B2  8/19/20-8/25/20"/>
    <s v="LaurenTi"/>
    <s v="0/JE IC"/>
    <m/>
    <m/>
    <x v="59"/>
    <m/>
    <m/>
    <m/>
    <m/>
    <m/>
    <m/>
    <s v="JRNL00985439"/>
    <s v="JRNL00985439"/>
    <m/>
    <d v="2020-09-03T00:00:00"/>
    <d v="2020-09-03T00:00:00"/>
    <m/>
    <m/>
    <s v="wci_wa"/>
    <n v="0"/>
    <n v="0"/>
    <n v="0"/>
    <n v="0"/>
    <n v="0"/>
    <n v="1"/>
    <n v="70165"/>
    <n v="2111"/>
    <n v="0"/>
    <n v="19"/>
    <m/>
  </r>
  <r>
    <x v="26"/>
    <d v="2020-08-31T00:00:00"/>
    <n v="-166.28"/>
    <n v="0"/>
    <s v="USD"/>
    <s v="JRNLWA00414963"/>
    <s v="P"/>
    <s v="2020-08 Expense Recalss"/>
    <s v="awatson"/>
    <s v="0/JE IC"/>
    <m/>
    <m/>
    <x v="60"/>
    <m/>
    <m/>
    <m/>
    <m/>
    <m/>
    <m/>
    <s v="JRNL00986458"/>
    <s v="JRNL00986458"/>
    <m/>
    <d v="2020-09-04T00:00:00"/>
    <d v="2020-09-07T00:00:00"/>
    <m/>
    <m/>
    <s v="wci_wa"/>
    <n v="0"/>
    <n v="0"/>
    <n v="0"/>
    <n v="0"/>
    <n v="0"/>
    <n v="1"/>
    <n v="57125"/>
    <n v="2111"/>
    <n v="0"/>
    <n v="19"/>
    <m/>
  </r>
  <r>
    <x v="24"/>
    <d v="2020-09-30T00:00:00"/>
    <n v="225.84"/>
    <n v="0"/>
    <s v="USD"/>
    <s v="JRNLWA00415815"/>
    <s v="P"/>
    <s v="B2 9/1/20-9/8/20"/>
    <s v="LaurenTi"/>
    <s v="0/JE IC"/>
    <m/>
    <m/>
    <x v="61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50020"/>
    <n v="2111"/>
    <n v="0"/>
    <n v="19"/>
    <m/>
  </r>
  <r>
    <x v="30"/>
    <d v="2020-09-30T00:00:00"/>
    <n v="700"/>
    <n v="0"/>
    <s v="USD"/>
    <s v="JRNLWA00415815"/>
    <s v="P"/>
    <s v="B2 9/1/20-9/8/20"/>
    <s v="LaurenTi"/>
    <s v="0/JE IC"/>
    <m/>
    <m/>
    <x v="62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70105"/>
    <n v="2111"/>
    <n v="0"/>
    <n v="19"/>
    <m/>
  </r>
  <r>
    <x v="30"/>
    <d v="2020-09-30T00:00:00"/>
    <n v="25"/>
    <n v="0"/>
    <s v="USD"/>
    <s v="JRNLWA00415815"/>
    <s v="P"/>
    <s v="B2 9/1/20-9/8/20"/>
    <s v="LaurenTi"/>
    <s v="0/JE IC"/>
    <m/>
    <m/>
    <x v="62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70105"/>
    <n v="2111"/>
    <n v="0"/>
    <n v="19"/>
    <m/>
  </r>
  <r>
    <x v="30"/>
    <d v="2020-09-30T00:00:00"/>
    <n v="25"/>
    <n v="0"/>
    <s v="USD"/>
    <s v="JRNLWA00415815"/>
    <s v="P"/>
    <s v="B2 9/1/20-9/8/20"/>
    <s v="LaurenTi"/>
    <s v="0/JE IC"/>
    <m/>
    <m/>
    <x v="62"/>
    <m/>
    <m/>
    <m/>
    <m/>
    <m/>
    <m/>
    <s v="JRNL00988627"/>
    <s v="JRNL00988627"/>
    <m/>
    <d v="2020-10-05T00:00:00"/>
    <d v="2020-10-05T00:00:00"/>
    <m/>
    <m/>
    <s v="wci_wa"/>
    <n v="0"/>
    <n v="0"/>
    <n v="0"/>
    <n v="0"/>
    <n v="0"/>
    <n v="1"/>
    <n v="70105"/>
    <n v="2111"/>
    <n v="0"/>
    <n v="19"/>
    <m/>
  </r>
  <r>
    <x v="24"/>
    <d v="2020-09-30T00:00:00"/>
    <n v="443.68"/>
    <n v="0"/>
    <s v="USD"/>
    <s v="JRNLWA00415826"/>
    <s v="P"/>
    <s v="B2 9.16.20-9.22.20"/>
    <s v="LaurenTi"/>
    <s v="0/JE IC"/>
    <m/>
    <m/>
    <x v="63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50020"/>
    <n v="2111"/>
    <n v="0"/>
    <n v="19"/>
    <m/>
  </r>
  <r>
    <x v="24"/>
    <d v="2020-09-30T00:00:00"/>
    <n v="1224.8"/>
    <n v="0"/>
    <s v="USD"/>
    <s v="JRNLWA00415826"/>
    <s v="P"/>
    <s v="B2 9.16.20-9.22.20"/>
    <s v="LaurenTi"/>
    <s v="0/JE IC"/>
    <m/>
    <m/>
    <x v="63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50020"/>
    <n v="2111"/>
    <n v="0"/>
    <n v="19"/>
    <m/>
  </r>
  <r>
    <x v="1"/>
    <d v="2020-09-30T00:00:00"/>
    <n v="700"/>
    <n v="0"/>
    <s v="USD"/>
    <s v="JRNLWA00415826"/>
    <s v="P"/>
    <s v="B2 9.16.20-9.22.20"/>
    <s v="LaurenTi"/>
    <s v="0/JE IC"/>
    <m/>
    <m/>
    <x v="64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70165"/>
    <n v="2111"/>
    <n v="0"/>
    <n v="19"/>
    <m/>
  </r>
  <r>
    <x v="1"/>
    <d v="2020-09-30T00:00:00"/>
    <n v="25"/>
    <n v="0"/>
    <s v="USD"/>
    <s v="JRNLWA00415826"/>
    <s v="P"/>
    <s v="B2 9.16.20-9.22.20"/>
    <s v="LaurenTi"/>
    <s v="0/JE IC"/>
    <m/>
    <m/>
    <x v="64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70165"/>
    <n v="2111"/>
    <n v="0"/>
    <n v="19"/>
    <m/>
  </r>
  <r>
    <x v="1"/>
    <d v="2020-09-30T00:00:00"/>
    <n v="25"/>
    <n v="0"/>
    <s v="USD"/>
    <s v="JRNLWA00415826"/>
    <s v="P"/>
    <s v="B2 9.16.20-9.22.20"/>
    <s v="LaurenTi"/>
    <s v="0/JE IC"/>
    <m/>
    <m/>
    <x v="64"/>
    <m/>
    <m/>
    <m/>
    <m/>
    <m/>
    <m/>
    <s v="JRNL00988635"/>
    <s v="JRNL00988635"/>
    <m/>
    <d v="2020-10-05T00:00:00"/>
    <d v="2020-10-05T00:00:00"/>
    <m/>
    <m/>
    <s v="wci_wa"/>
    <n v="0"/>
    <n v="0"/>
    <n v="0"/>
    <n v="0"/>
    <n v="0"/>
    <n v="1"/>
    <n v="70165"/>
    <n v="2111"/>
    <n v="0"/>
    <n v="19"/>
    <m/>
  </r>
  <r>
    <x v="24"/>
    <d v="2020-09-30T00:00:00"/>
    <n v="424"/>
    <n v="0"/>
    <s v="USD"/>
    <s v="JRNLWA00415860"/>
    <s v="P"/>
    <s v="2020-09 B2 Hourly In progress"/>
    <s v="JacobMas"/>
    <s v="0/JE IC"/>
    <m/>
    <m/>
    <x v="65"/>
    <m/>
    <m/>
    <m/>
    <m/>
    <m/>
    <m/>
    <s v="JRNL00988676"/>
    <s v="JRNL00988676"/>
    <m/>
    <d v="2020-10-05T00:00:00"/>
    <d v="2020-10-05T00:00:00"/>
    <m/>
    <m/>
    <s v="wci_wa"/>
    <n v="0"/>
    <n v="0"/>
    <n v="0"/>
    <n v="0"/>
    <n v="0"/>
    <n v="1"/>
    <n v="50020"/>
    <n v="2111"/>
    <n v="0"/>
    <n v="19"/>
    <m/>
  </r>
  <r>
    <x v="24"/>
    <d v="2020-10-31T00:00:00"/>
    <n v="-424"/>
    <n v="0"/>
    <s v="USD"/>
    <s v="JRNLWA00416017"/>
    <s v="P"/>
    <s v="2020-09 B2 Hourly In progress"/>
    <s v="HeatherH"/>
    <s v="0/JE IC"/>
    <m/>
    <m/>
    <x v="65"/>
    <m/>
    <m/>
    <m/>
    <m/>
    <m/>
    <m/>
    <s v="JRNL00988676"/>
    <s v="JRNL00988689"/>
    <m/>
    <d v="2020-10-05T00:00:00"/>
    <d v="2020-10-05T00:00:00"/>
    <m/>
    <m/>
    <s v="wci_wa"/>
    <n v="0"/>
    <n v="0"/>
    <n v="0"/>
    <n v="0"/>
    <n v="5"/>
    <n v="1"/>
    <n v="50020"/>
    <n v="2111"/>
    <n v="0"/>
    <n v="19"/>
    <m/>
  </r>
  <r>
    <x v="24"/>
    <d v="2020-10-31T00:00:00"/>
    <n v="424"/>
    <n v="0"/>
    <s v="USD"/>
    <s v="JRNLWA00417816"/>
    <s v="P"/>
    <s v="B2 9.30.20_10.06.20"/>
    <s v="JacobMas"/>
    <s v="0/JE IC"/>
    <m/>
    <m/>
    <x v="65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50020"/>
    <n v="2111"/>
    <n v="0"/>
    <n v="19"/>
    <m/>
  </r>
  <r>
    <x v="24"/>
    <d v="2020-10-31T00:00:00"/>
    <n v="856.8"/>
    <n v="0"/>
    <s v="USD"/>
    <s v="JRNLWA00417816"/>
    <s v="P"/>
    <s v="B2 9.30.20_10.06.20"/>
    <s v="JacobMas"/>
    <s v="0/JE IC"/>
    <m/>
    <m/>
    <x v="65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50020"/>
    <n v="2111"/>
    <n v="0"/>
    <n v="19"/>
    <m/>
  </r>
  <r>
    <x v="1"/>
    <d v="2020-10-31T00:00:00"/>
    <n v="625"/>
    <n v="0"/>
    <s v="USD"/>
    <s v="JRNLWA00417816"/>
    <s v="P"/>
    <s v="B2 9.30.20_10.06.20"/>
    <s v="JacobMas"/>
    <s v="0/JE IC"/>
    <m/>
    <m/>
    <x v="66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16"/>
    <s v="P"/>
    <s v="B2 9.30.20_10.06.20"/>
    <s v="JacobMas"/>
    <s v="0/JE IC"/>
    <m/>
    <m/>
    <x v="66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16"/>
    <s v="P"/>
    <s v="B2 9.30.20_10.06.20"/>
    <s v="JacobMas"/>
    <s v="0/JE IC"/>
    <m/>
    <m/>
    <x v="66"/>
    <m/>
    <m/>
    <m/>
    <m/>
    <m/>
    <m/>
    <s v="JRNL00992735"/>
    <s v="JRNL00992735"/>
    <m/>
    <d v="2020-11-04T00:00:00"/>
    <d v="2020-11-04T00:00:00"/>
    <m/>
    <m/>
    <s v="wci_wa"/>
    <n v="0"/>
    <n v="0"/>
    <n v="0"/>
    <n v="0"/>
    <n v="0"/>
    <n v="1"/>
    <n v="70165"/>
    <n v="2111"/>
    <n v="0"/>
    <n v="19"/>
    <m/>
  </r>
  <r>
    <x v="24"/>
    <d v="2020-10-31T00:00:00"/>
    <n v="1428"/>
    <n v="0"/>
    <s v="USD"/>
    <s v="JRNLWA00417826"/>
    <s v="P"/>
    <s v="B2 10.14.20_10.20.20"/>
    <s v="JacobMas"/>
    <s v="0/JE IC"/>
    <m/>
    <m/>
    <x v="67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50020"/>
    <n v="2111"/>
    <n v="0"/>
    <n v="19"/>
    <m/>
  </r>
  <r>
    <x v="25"/>
    <d v="2020-10-31T00:00:00"/>
    <n v="3578.8"/>
    <n v="0"/>
    <s v="USD"/>
    <s v="JRNLWA00417826"/>
    <s v="P"/>
    <s v="B2 10.14.20_10.20.20"/>
    <s v="JacobMas"/>
    <s v="0/JE IC"/>
    <m/>
    <m/>
    <x v="67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52020"/>
    <n v="2111"/>
    <n v="0"/>
    <n v="19"/>
    <m/>
  </r>
  <r>
    <x v="1"/>
    <d v="2020-10-31T00:00:00"/>
    <n v="650"/>
    <n v="0"/>
    <s v="USD"/>
    <s v="JRNLWA00417826"/>
    <s v="P"/>
    <s v="B2 10.14.20_10.20.20"/>
    <s v="JacobMas"/>
    <s v="0/JE IC"/>
    <m/>
    <m/>
    <x v="68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26"/>
    <s v="P"/>
    <s v="B2 10.14.20_10.20.20"/>
    <s v="JacobMas"/>
    <s v="0/JE IC"/>
    <m/>
    <m/>
    <x v="68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26"/>
    <s v="P"/>
    <s v="B2 10.14.20_10.20.20"/>
    <s v="JacobMas"/>
    <s v="0/JE IC"/>
    <m/>
    <m/>
    <x v="68"/>
    <m/>
    <m/>
    <m/>
    <m/>
    <m/>
    <m/>
    <s v="JRNL00992768"/>
    <s v="JRNL00992768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24"/>
    <d v="2020-10-31T00:00:00"/>
    <n v="2544.96"/>
    <n v="0"/>
    <s v="USD"/>
    <s v="JRNLWA00417830"/>
    <s v="P"/>
    <s v="B2 10.28.20_11.03.20"/>
    <s v="JacobMas"/>
    <s v="0/JE IC"/>
    <m/>
    <m/>
    <x v="69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50020"/>
    <n v="2111"/>
    <n v="0"/>
    <n v="19"/>
    <m/>
  </r>
  <r>
    <x v="24"/>
    <d v="2020-10-31T00:00:00"/>
    <n v="496"/>
    <n v="0"/>
    <s v="USD"/>
    <s v="JRNLWA00417830"/>
    <s v="P"/>
    <s v="B2 10.28.20_11.03.20"/>
    <s v="JacobMas"/>
    <s v="0/JE IC"/>
    <m/>
    <m/>
    <x v="69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50020"/>
    <n v="2111"/>
    <n v="0"/>
    <n v="19"/>
    <m/>
  </r>
  <r>
    <x v="1"/>
    <d v="2020-10-31T00:00:00"/>
    <n v="650"/>
    <n v="0"/>
    <s v="USD"/>
    <s v="JRNLWA00417830"/>
    <s v="P"/>
    <s v="B2 10.28.20_11.03.20"/>
    <s v="JacobMas"/>
    <s v="0/JE IC"/>
    <m/>
    <m/>
    <x v="70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30"/>
    <s v="P"/>
    <s v="B2 10.28.20_11.03.20"/>
    <s v="JacobMas"/>
    <s v="0/JE IC"/>
    <m/>
    <m/>
    <x v="70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1"/>
    <d v="2020-10-31T00:00:00"/>
    <n v="25"/>
    <n v="0"/>
    <s v="USD"/>
    <s v="JRNLWA00417830"/>
    <s v="P"/>
    <s v="B2 10.28.20_11.03.20"/>
    <s v="JacobMas"/>
    <s v="0/JE IC"/>
    <m/>
    <m/>
    <x v="70"/>
    <m/>
    <m/>
    <m/>
    <m/>
    <m/>
    <m/>
    <s v="JRNL00992773"/>
    <s v="JRNL00992773"/>
    <m/>
    <d v="2020-11-04T00:00:00"/>
    <d v="2020-11-05T00:00:00"/>
    <m/>
    <m/>
    <s v="wci_wa"/>
    <n v="0"/>
    <n v="0"/>
    <n v="0"/>
    <n v="0"/>
    <n v="0"/>
    <n v="1"/>
    <n v="70165"/>
    <n v="2111"/>
    <n v="0"/>
    <n v="19"/>
    <m/>
  </r>
  <r>
    <x v="31"/>
    <d v="2020-11-30T00:00:00"/>
    <n v="164.82"/>
    <n v="0"/>
    <s v="USD"/>
    <s v="JRNLWA00418762"/>
    <s v="P"/>
    <s v="Pcard Activity - Nov"/>
    <s v="HelenaK"/>
    <s v="0/JE IC"/>
    <m/>
    <m/>
    <x v="71"/>
    <m/>
    <m/>
    <m/>
    <m/>
    <m/>
    <m/>
    <s v="JRNL00995174"/>
    <s v="JRNL00995174"/>
    <m/>
    <d v="2020-12-02T00:00:00"/>
    <d v="2020-12-02T00:00:00"/>
    <m/>
    <m/>
    <s v="wci_wa"/>
    <n v="0"/>
    <n v="0"/>
    <n v="0"/>
    <n v="0"/>
    <n v="0"/>
    <n v="1"/>
    <n v="52200"/>
    <n v="2111"/>
    <n v="0"/>
    <n v="19"/>
    <m/>
  </r>
  <r>
    <x v="32"/>
    <d v="2020-11-30T00:00:00"/>
    <n v="251.36"/>
    <n v="0"/>
    <s v="USD"/>
    <s v="JRNLWA00418762"/>
    <s v="P"/>
    <s v="Pcard Activity - Nov"/>
    <s v="HelenaK"/>
    <s v="0/JE IC"/>
    <m/>
    <m/>
    <x v="72"/>
    <m/>
    <m/>
    <m/>
    <m/>
    <m/>
    <m/>
    <s v="JRNL00995174"/>
    <s v="JRNL00995174"/>
    <m/>
    <d v="2020-12-02T00:00:00"/>
    <d v="2020-12-02T00:00:00"/>
    <m/>
    <m/>
    <s v="wci_wa"/>
    <n v="0"/>
    <n v="0"/>
    <n v="0"/>
    <n v="0"/>
    <n v="0"/>
    <n v="1"/>
    <n v="55086"/>
    <n v="2111"/>
    <n v="0"/>
    <n v="19"/>
    <m/>
  </r>
  <r>
    <x v="24"/>
    <d v="2020-11-30T00:00:00"/>
    <n v="4603.6000000000004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1615.2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1096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424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0020"/>
    <n v="2111"/>
    <n v="0"/>
    <n v="19"/>
    <m/>
  </r>
  <r>
    <x v="25"/>
    <d v="2020-11-30T00:00:00"/>
    <n v="392.16"/>
    <n v="0"/>
    <s v="USD"/>
    <s v="JRNLWA00419650"/>
    <s v="P"/>
    <s v="B2 11.11.20_11.17.20"/>
    <s v="JacobMas"/>
    <s v="0/JE IC"/>
    <m/>
    <m/>
    <x v="73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52020"/>
    <n v="2111"/>
    <n v="0"/>
    <n v="19"/>
    <m/>
  </r>
  <r>
    <x v="1"/>
    <d v="2020-11-30T00:00:00"/>
    <n v="650"/>
    <n v="0"/>
    <s v="USD"/>
    <s v="JRNLWA00419650"/>
    <s v="P"/>
    <s v="B2 11.11.20_11.17.20"/>
    <s v="JacobMas"/>
    <s v="0/JE IC"/>
    <m/>
    <m/>
    <x v="74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70165"/>
    <n v="2111"/>
    <n v="0"/>
    <n v="19"/>
    <m/>
  </r>
  <r>
    <x v="1"/>
    <d v="2020-11-30T00:00:00"/>
    <n v="25"/>
    <n v="0"/>
    <s v="USD"/>
    <s v="JRNLWA00419650"/>
    <s v="P"/>
    <s v="B2 11.11.20_11.17.20"/>
    <s v="JacobMas"/>
    <s v="0/JE IC"/>
    <m/>
    <m/>
    <x v="74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70165"/>
    <n v="2111"/>
    <n v="0"/>
    <n v="19"/>
    <m/>
  </r>
  <r>
    <x v="1"/>
    <d v="2020-11-30T00:00:00"/>
    <n v="25"/>
    <n v="0"/>
    <s v="USD"/>
    <s v="JRNLWA00419650"/>
    <s v="P"/>
    <s v="B2 11.11.20_11.17.20"/>
    <s v="JacobMas"/>
    <s v="0/JE IC"/>
    <m/>
    <m/>
    <x v="74"/>
    <m/>
    <m/>
    <m/>
    <m/>
    <m/>
    <m/>
    <s v="JRNL00996662"/>
    <s v="JRNL00996662"/>
    <m/>
    <d v="2020-12-04T00:00:00"/>
    <d v="2020-12-04T00:00:00"/>
    <m/>
    <m/>
    <s v="wci_wa"/>
    <n v="0"/>
    <n v="0"/>
    <n v="0"/>
    <n v="0"/>
    <n v="0"/>
    <n v="1"/>
    <n v="70165"/>
    <n v="2111"/>
    <n v="0"/>
    <n v="19"/>
    <m/>
  </r>
  <r>
    <x v="24"/>
    <d v="2020-11-30T00:00:00"/>
    <n v="3392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807.6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1594.4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1696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4"/>
    <d v="2020-11-30T00:00:00"/>
    <n v="653.04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0020"/>
    <n v="2111"/>
    <n v="0"/>
    <n v="19"/>
    <m/>
  </r>
  <r>
    <x v="25"/>
    <d v="2020-11-30T00:00:00"/>
    <n v="4290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2020"/>
    <n v="2111"/>
    <n v="0"/>
    <n v="19"/>
    <m/>
  </r>
  <r>
    <x v="33"/>
    <d v="2020-11-30T00:00:00"/>
    <n v="1200"/>
    <n v="0"/>
    <s v="USD"/>
    <s v="JRNLWA00419675"/>
    <s v="P"/>
    <s v="B2 11.25.20_12.01.20"/>
    <s v="JacobMas"/>
    <s v="0/JE IC"/>
    <m/>
    <m/>
    <x v="75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55020"/>
    <n v="2111"/>
    <n v="0"/>
    <n v="19"/>
    <m/>
  </r>
  <r>
    <x v="1"/>
    <d v="2020-11-30T00:00:00"/>
    <n v="650"/>
    <n v="0"/>
    <s v="USD"/>
    <s v="JRNLWA00419675"/>
    <s v="P"/>
    <s v="B2 11.25.20_12.01.20"/>
    <s v="JacobMas"/>
    <s v="0/JE IC"/>
    <m/>
    <m/>
    <x v="76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70165"/>
    <n v="2111"/>
    <n v="0"/>
    <n v="19"/>
    <m/>
  </r>
  <r>
    <x v="1"/>
    <d v="2020-11-30T00:00:00"/>
    <n v="25"/>
    <n v="0"/>
    <s v="USD"/>
    <s v="JRNLWA00419675"/>
    <s v="P"/>
    <s v="B2 11.25.20_12.01.20"/>
    <s v="JacobMas"/>
    <s v="0/JE IC"/>
    <m/>
    <m/>
    <x v="76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70165"/>
    <n v="2111"/>
    <n v="0"/>
    <n v="19"/>
    <m/>
  </r>
  <r>
    <x v="1"/>
    <d v="2020-11-30T00:00:00"/>
    <n v="25"/>
    <n v="0"/>
    <s v="USD"/>
    <s v="JRNLWA00419675"/>
    <s v="P"/>
    <s v="B2 11.25.20_12.01.20"/>
    <s v="JacobMas"/>
    <s v="0/JE IC"/>
    <m/>
    <m/>
    <x v="76"/>
    <m/>
    <m/>
    <m/>
    <m/>
    <m/>
    <m/>
    <s v="JRNL00996683"/>
    <s v="JRNL00996683"/>
    <m/>
    <d v="2020-12-04T00:00:00"/>
    <d v="2020-12-06T00:00:00"/>
    <m/>
    <m/>
    <s v="wci_wa"/>
    <n v="0"/>
    <n v="0"/>
    <n v="0"/>
    <n v="0"/>
    <n v="0"/>
    <n v="1"/>
    <n v="70165"/>
    <n v="2111"/>
    <n v="0"/>
    <n v="19"/>
    <m/>
  </r>
  <r>
    <x v="5"/>
    <d v="2020-11-30T00:00:00"/>
    <n v="110.2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632.20000000000005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35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1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21.8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85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2.2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71.2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703.2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860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9.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20.79999999999995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793.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23.2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7"/>
    <d v="2020-11-30T00:00:00"/>
    <n v="1041.5999999999999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7"/>
    <d v="2020-11-30T00:00:00"/>
    <n v="243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9"/>
    <d v="2020-11-30T00:00:00"/>
    <n v="75.40000000000000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9"/>
    <d v="2020-11-30T00:00:00"/>
    <n v="322.39999999999998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11"/>
    <d v="2020-11-30T00:00:00"/>
    <n v="49.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1"/>
    <d v="2020-11-30T00:00:00"/>
    <n v="49.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1"/>
    <d v="2020-11-30T00:00:00"/>
    <n v="11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1"/>
    <d v="2020-11-30T00:00:00"/>
    <n v="11.6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3"/>
    <d v="2020-11-30T00:00:00"/>
    <n v="261"/>
    <n v="0"/>
    <s v="USD"/>
    <s v="JRNLWA00419681"/>
    <s v="P"/>
    <s v="Rcls West Reg Thankyou EE tax"/>
    <s v="JacobMas"/>
    <s v="0/JE IC"/>
    <m/>
    <m/>
    <x v="77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13"/>
    <d v="2020-11-30T00:00:00"/>
    <n v="1116"/>
    <n v="0"/>
    <s v="USD"/>
    <s v="JRNLWA00419681"/>
    <s v="P"/>
    <s v="Rcls West Reg Thankyou EE tax"/>
    <s v="JacobMas"/>
    <s v="0/JE IC"/>
    <m/>
    <m/>
    <x v="78"/>
    <m/>
    <m/>
    <m/>
    <m/>
    <m/>
    <m/>
    <s v="JRNL00996695"/>
    <s v="JRNL00996695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4"/>
    <d v="2020-11-30T00:00:00"/>
    <n v="76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0"/>
    <n v="19"/>
    <m/>
  </r>
  <r>
    <x v="16"/>
    <d v="2020-11-30T00:00:00"/>
    <n v="436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100"/>
    <n v="19"/>
    <m/>
  </r>
  <r>
    <x v="17"/>
    <d v="2020-11-30T00:00:00"/>
    <n v="300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200"/>
    <n v="19"/>
    <m/>
  </r>
  <r>
    <x v="18"/>
    <d v="2020-11-30T00:00:00"/>
    <n v="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201"/>
    <n v="19"/>
    <m/>
  </r>
  <r>
    <x v="19"/>
    <d v="2020-11-30T00:00:00"/>
    <n v="84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210"/>
    <n v="19"/>
    <m/>
  </r>
  <r>
    <x v="20"/>
    <d v="2020-11-30T00:00:00"/>
    <n v="12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300"/>
    <n v="19"/>
    <m/>
  </r>
  <r>
    <x v="21"/>
    <d v="2020-11-30T00:00:00"/>
    <n v="36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0036"/>
    <n v="2111"/>
    <n v="500"/>
    <n v="19"/>
    <m/>
  </r>
  <r>
    <x v="6"/>
    <d v="2020-11-30T00:00:00"/>
    <n v="16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2036"/>
    <n v="2111"/>
    <n v="0"/>
    <n v="19"/>
    <m/>
  </r>
  <r>
    <x v="8"/>
    <d v="2020-11-30T00:00:00"/>
    <n v="52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5036"/>
    <n v="2111"/>
    <n v="0"/>
    <n v="19"/>
    <m/>
  </r>
  <r>
    <x v="10"/>
    <d v="2020-11-30T00:00:00"/>
    <n v="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6036"/>
    <n v="2111"/>
    <n v="0"/>
    <n v="19"/>
    <m/>
  </r>
  <r>
    <x v="23"/>
    <d v="2020-11-30T00:00:00"/>
    <n v="8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56036"/>
    <n v="2111"/>
    <n v="700"/>
    <n v="19"/>
    <m/>
  </r>
  <r>
    <x v="12"/>
    <d v="2020-11-30T00:00:00"/>
    <n v="18000"/>
    <n v="0"/>
    <s v="USD"/>
    <s v="JRNLWA00419682"/>
    <s v="P"/>
    <s v="Rcls West Reg Thankyou Bonus"/>
    <s v="JacobMas"/>
    <s v="0/JE IC"/>
    <m/>
    <m/>
    <x v="79"/>
    <m/>
    <m/>
    <m/>
    <m/>
    <m/>
    <m/>
    <s v="JRNL00996696"/>
    <s v="JRNL00996696"/>
    <m/>
    <d v="2020-12-04T00:00:00"/>
    <d v="2020-12-06T00:00:00"/>
    <m/>
    <m/>
    <s v="wci_wa"/>
    <n v="0"/>
    <n v="0"/>
    <n v="0"/>
    <n v="0"/>
    <n v="0"/>
    <n v="1"/>
    <n v="70036"/>
    <n v="2111"/>
    <n v="0"/>
    <n v="19"/>
    <m/>
  </r>
  <r>
    <x v="5"/>
    <d v="2020-11-30T00:00:00"/>
    <n v="11.12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63.79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3.91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2.32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4.8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1.56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.88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.27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37.24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2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8.72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5.88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.17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5"/>
    <d v="2020-11-30T00:00:00"/>
    <n v="17.64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0050"/>
    <n v="2111"/>
    <n v="0"/>
    <n v="19"/>
    <m/>
  </r>
  <r>
    <x v="7"/>
    <d v="2020-11-30T00:00:00"/>
    <n v="10.94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7"/>
    <d v="2020-11-30T00:00:00"/>
    <n v="24.58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7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2050"/>
    <n v="2111"/>
    <n v="0"/>
    <n v="19"/>
    <m/>
  </r>
  <r>
    <x v="9"/>
    <d v="2020-11-30T00:00:00"/>
    <n v="7.61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9"/>
    <d v="2020-11-30T00:00:00"/>
    <n v="2.4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9"/>
    <d v="2020-11-30T00:00:00"/>
    <n v="5.88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5050"/>
    <n v="2111"/>
    <n v="0"/>
    <n v="19"/>
    <m/>
  </r>
  <r>
    <x v="11"/>
    <d v="2020-11-30T00:00:00"/>
    <n v="1.17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1"/>
    <d v="2020-11-30T00:00:00"/>
    <n v="1.17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56050"/>
    <n v="2111"/>
    <n v="0"/>
    <n v="19"/>
    <m/>
  </r>
  <r>
    <x v="13"/>
    <d v="2020-11-30T00:00:00"/>
    <n v="84.28"/>
    <n v="0"/>
    <s v="USD"/>
    <s v="JRNLWA00419683"/>
    <s v="P"/>
    <s v="Rcls West Reg Thankyou ER tax"/>
    <s v="JacobMas"/>
    <s v="0/JE IC"/>
    <m/>
    <m/>
    <x v="82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13"/>
    <d v="2020-11-30T00:00:00"/>
    <n v="26.35"/>
    <n v="0"/>
    <s v="USD"/>
    <s v="JRNLWA00419683"/>
    <s v="P"/>
    <s v="Rcls West Reg Thankyou ER tax"/>
    <s v="JacobMas"/>
    <s v="0/JE IC"/>
    <m/>
    <m/>
    <x v="80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13"/>
    <d v="2020-11-30T00:00:00"/>
    <n v="7.2"/>
    <n v="0"/>
    <s v="USD"/>
    <s v="JRNLWA00419683"/>
    <s v="P"/>
    <s v="Rcls West Reg Thankyou ER tax"/>
    <s v="JacobMas"/>
    <s v="0/JE IC"/>
    <m/>
    <m/>
    <x v="81"/>
    <m/>
    <m/>
    <m/>
    <m/>
    <m/>
    <m/>
    <s v="JRNL00996697"/>
    <s v="JRNL00996697"/>
    <m/>
    <d v="2020-12-04T00:00:00"/>
    <d v="2020-12-06T00:00:00"/>
    <m/>
    <m/>
    <s v="wci_wa"/>
    <n v="0"/>
    <n v="0"/>
    <n v="0"/>
    <n v="0"/>
    <n v="0"/>
    <n v="1"/>
    <n v="70050"/>
    <n v="2111"/>
    <n v="0"/>
    <n v="19"/>
    <m/>
  </r>
  <r>
    <x v="16"/>
    <d v="2020-11-30T00:00:00"/>
    <n v="-38400"/>
    <n v="0"/>
    <s v="USD"/>
    <s v="JRNLWA00419898"/>
    <s v="P"/>
    <s v="2020-11 DMR True Up"/>
    <s v="HeatherH"/>
    <s v="0/JE IC"/>
    <m/>
    <m/>
    <x v="83"/>
    <m/>
    <m/>
    <m/>
    <m/>
    <m/>
    <m/>
    <s v="JRNL00997277"/>
    <s v="JRNL00997277"/>
    <m/>
    <d v="2020-12-07T00:00:00"/>
    <d v="2020-12-07T00:00:00"/>
    <m/>
    <m/>
    <s v="wci_wa"/>
    <n v="0"/>
    <n v="0"/>
    <n v="0"/>
    <n v="0"/>
    <n v="0"/>
    <n v="1"/>
    <n v="50036"/>
    <n v="2111"/>
    <n v="100"/>
    <n v="19"/>
    <m/>
  </r>
  <r>
    <x v="12"/>
    <d v="2020-11-30T00:00:00"/>
    <n v="-3600"/>
    <n v="0"/>
    <s v="USD"/>
    <s v="JRNLWA00419898"/>
    <s v="P"/>
    <s v="2020-11 DMR True Up"/>
    <s v="HeatherH"/>
    <s v="0/JE IC"/>
    <m/>
    <m/>
    <x v="83"/>
    <m/>
    <m/>
    <m/>
    <m/>
    <m/>
    <m/>
    <s v="JRNL00997277"/>
    <s v="JRNL00997277"/>
    <m/>
    <d v="2020-12-07T00:00:00"/>
    <d v="2020-12-07T00:00:00"/>
    <m/>
    <m/>
    <s v="wci_wa"/>
    <n v="0"/>
    <n v="0"/>
    <n v="0"/>
    <n v="0"/>
    <n v="0"/>
    <n v="1"/>
    <n v="70036"/>
    <n v="2111"/>
    <n v="0"/>
    <n v="19"/>
    <m/>
  </r>
  <r>
    <x v="14"/>
    <d v="2020-12-31T00:00:00"/>
    <n v="169.34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11"/>
    <n v="0"/>
    <n v="19"/>
    <m/>
  </r>
  <r>
    <x v="14"/>
    <d v="2020-12-31T00:00:00"/>
    <n v="109.88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11"/>
    <n v="0"/>
    <n v="19"/>
    <m/>
  </r>
  <r>
    <x v="14"/>
    <d v="2020-12-31T00:00:00"/>
    <n v="558"/>
    <n v="0"/>
    <s v="USD"/>
    <s v="JRNLWA00420506"/>
    <s v="P"/>
    <s v="Pcard Activity - Dec"/>
    <s v="HeatherH"/>
    <s v="0/JE IC"/>
    <m/>
    <m/>
    <x v="85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0086"/>
    <n v="2111"/>
    <n v="0"/>
    <n v="19"/>
    <m/>
  </r>
  <r>
    <x v="27"/>
    <d v="2020-12-31T00:00:00"/>
    <n v="98.09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2086"/>
    <n v="2111"/>
    <n v="0"/>
    <n v="19"/>
    <m/>
  </r>
  <r>
    <x v="27"/>
    <d v="2020-12-31T00:00:00"/>
    <n v="356.73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2086"/>
    <n v="2111"/>
    <n v="0"/>
    <n v="19"/>
    <m/>
  </r>
  <r>
    <x v="27"/>
    <d v="2020-12-31T00:00:00"/>
    <n v="891.84"/>
    <n v="0"/>
    <s v="USD"/>
    <s v="JRNLWA00420506"/>
    <s v="P"/>
    <s v="Pcard Activity - Dec"/>
    <s v="HeatherH"/>
    <s v="0/JE IC"/>
    <m/>
    <m/>
    <x v="84"/>
    <m/>
    <m/>
    <m/>
    <m/>
    <m/>
    <m/>
    <s v="JRNL00998861"/>
    <s v="JRNL00998861"/>
    <m/>
    <d v="2021-01-05T00:00:00"/>
    <d v="2021-01-05T00:00:00"/>
    <m/>
    <m/>
    <s v="wci_wa"/>
    <n v="0"/>
    <n v="0"/>
    <n v="0"/>
    <n v="0"/>
    <n v="0"/>
    <n v="1"/>
    <n v="52086"/>
    <n v="2111"/>
    <n v="0"/>
    <n v="19"/>
    <m/>
  </r>
  <r>
    <x v="24"/>
    <d v="2020-12-31T00:00:00"/>
    <n v="1060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064.6400000000001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449.6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979.84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720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5"/>
    <d v="2020-12-31T00:00:00"/>
    <n v="2632.72"/>
    <n v="0"/>
    <s v="USD"/>
    <s v="JRNLWA00420964"/>
    <s v="P"/>
    <s v="B2 12.09.20_12.22.20"/>
    <s v="JacobMas"/>
    <s v="0/JE IC"/>
    <m/>
    <m/>
    <x v="86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52020"/>
    <n v="2111"/>
    <n v="0"/>
    <n v="19"/>
    <m/>
  </r>
  <r>
    <x v="1"/>
    <d v="2020-12-31T00:00:00"/>
    <n v="725"/>
    <n v="0"/>
    <s v="USD"/>
    <s v="JRNLWA00420964"/>
    <s v="P"/>
    <s v="B2 12.09.20_12.22.20"/>
    <s v="JacobMas"/>
    <s v="0/JE IC"/>
    <m/>
    <m/>
    <x v="87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1"/>
    <d v="2020-12-31T00:00:00"/>
    <n v="25"/>
    <n v="0"/>
    <s v="USD"/>
    <s v="JRNLWA00420964"/>
    <s v="P"/>
    <s v="B2 12.09.20_12.22.20"/>
    <s v="JacobMas"/>
    <s v="0/JE IC"/>
    <m/>
    <m/>
    <x v="87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1"/>
    <d v="2020-12-31T00:00:00"/>
    <n v="25"/>
    <n v="0"/>
    <s v="USD"/>
    <s v="JRNLWA00420964"/>
    <s v="P"/>
    <s v="B2 12.09.20_12.22.20"/>
    <s v="JacobMas"/>
    <s v="0/JE IC"/>
    <m/>
    <m/>
    <x v="87"/>
    <m/>
    <m/>
    <m/>
    <m/>
    <m/>
    <m/>
    <s v="JRNL00999635"/>
    <s v="JRNL00999635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24"/>
    <d v="2020-12-31T00:00:00"/>
    <n v="1060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224.8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576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168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576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0020"/>
    <n v="2111"/>
    <n v="0"/>
    <n v="19"/>
    <m/>
  </r>
  <r>
    <x v="25"/>
    <d v="2020-12-31T00:00:00"/>
    <n v="841.6"/>
    <n v="0"/>
    <s v="USD"/>
    <s v="JRNLWA00420966"/>
    <s v="P"/>
    <s v="B2 12.23.20_12.29.20"/>
    <s v="JacobMas"/>
    <s v="0/JE IC"/>
    <m/>
    <m/>
    <x v="88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52020"/>
    <n v="2111"/>
    <n v="0"/>
    <n v="19"/>
    <m/>
  </r>
  <r>
    <x v="1"/>
    <d v="2020-12-31T00:00:00"/>
    <n v="725"/>
    <n v="0"/>
    <s v="USD"/>
    <s v="JRNLWA00420966"/>
    <s v="P"/>
    <s v="B2 12.23.20_12.29.20"/>
    <s v="JacobMas"/>
    <s v="0/JE IC"/>
    <m/>
    <m/>
    <x v="89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1"/>
    <d v="2020-12-31T00:00:00"/>
    <n v="25"/>
    <n v="0"/>
    <s v="USD"/>
    <s v="JRNLWA00420966"/>
    <s v="P"/>
    <s v="B2 12.23.20_12.29.20"/>
    <s v="JacobMas"/>
    <s v="0/JE IC"/>
    <m/>
    <m/>
    <x v="89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1"/>
    <d v="2020-12-31T00:00:00"/>
    <n v="25"/>
    <n v="0"/>
    <s v="USD"/>
    <s v="JRNLWA00420966"/>
    <s v="P"/>
    <s v="B2 12.23.20_12.29.20"/>
    <s v="JacobMas"/>
    <s v="0/JE IC"/>
    <m/>
    <m/>
    <x v="89"/>
    <m/>
    <m/>
    <m/>
    <m/>
    <m/>
    <m/>
    <s v="JRNL00999637"/>
    <s v="JRNL00999637"/>
    <m/>
    <d v="2021-01-06T00:00:00"/>
    <d v="2021-01-06T00:00:00"/>
    <m/>
    <m/>
    <s v="wci_wa"/>
    <n v="0"/>
    <n v="0"/>
    <n v="0"/>
    <n v="0"/>
    <n v="0"/>
    <n v="1"/>
    <n v="70165"/>
    <n v="2111"/>
    <n v="0"/>
    <n v="19"/>
    <m/>
  </r>
  <r>
    <x v="24"/>
    <d v="2020-12-31T00:00:00"/>
    <n v="2023.44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243.8399999999999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0020"/>
    <n v="2111"/>
    <n v="0"/>
    <n v="19"/>
    <m/>
  </r>
  <r>
    <x v="24"/>
    <d v="2020-12-31T00:00:00"/>
    <n v="1569.76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0020"/>
    <n v="2111"/>
    <n v="0"/>
    <n v="19"/>
    <m/>
  </r>
  <r>
    <x v="25"/>
    <d v="2020-12-31T00:00:00"/>
    <n v="227.6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2020"/>
    <n v="2111"/>
    <n v="0"/>
    <n v="19"/>
    <m/>
  </r>
  <r>
    <x v="33"/>
    <d v="2020-12-31T00:00:00"/>
    <n v="590.16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55020"/>
    <n v="2111"/>
    <n v="0"/>
    <n v="19"/>
    <m/>
  </r>
  <r>
    <x v="34"/>
    <d v="2020-12-31T00:00:00"/>
    <n v="130.4"/>
    <n v="0"/>
    <s v="USD"/>
    <s v="JRNLWA00421008"/>
    <s v="P"/>
    <s v="2020-12 B2 Hrly In prog Accrl"/>
    <s v="JacobMas"/>
    <s v="0/JE IC"/>
    <m/>
    <m/>
    <x v="90"/>
    <m/>
    <m/>
    <m/>
    <m/>
    <m/>
    <m/>
    <s v="JRNL00999725"/>
    <s v="JRNL00999725"/>
    <m/>
    <d v="2021-01-06T00:00:00"/>
    <d v="2021-01-07T00:00:00"/>
    <m/>
    <m/>
    <s v="wci_wa"/>
    <n v="0"/>
    <n v="0"/>
    <n v="0"/>
    <n v="0"/>
    <n v="0"/>
    <n v="1"/>
    <n v="70020"/>
    <n v="2111"/>
    <n v="0"/>
    <n v="19"/>
    <m/>
  </r>
  <r>
    <x v="27"/>
    <d v="2020-12-31T00:00:00"/>
    <n v="386.9"/>
    <n v="0"/>
    <s v="USD"/>
    <s v="JRNLWA00421387"/>
    <s v="P"/>
    <s v="2020-12 Pcard Accrual"/>
    <s v="HelenaK"/>
    <s v="0/JE IC"/>
    <m/>
    <m/>
    <x v="91"/>
    <m/>
    <m/>
    <m/>
    <m/>
    <m/>
    <m/>
    <s v="JRNL01000542"/>
    <s v="JRNL01000542"/>
    <m/>
    <d v="2021-01-07T00:00:00"/>
    <d v="2021-01-08T00:00:00"/>
    <m/>
    <m/>
    <s v="wci_wa"/>
    <n v="0"/>
    <n v="0"/>
    <n v="0"/>
    <n v="0"/>
    <n v="0"/>
    <n v="1"/>
    <n v="52086"/>
    <n v="2111"/>
    <n v="0"/>
    <n v="19"/>
    <m/>
  </r>
  <r>
    <x v="32"/>
    <d v="2020-12-31T00:00:00"/>
    <n v="386.89"/>
    <n v="0"/>
    <s v="USD"/>
    <s v="JRNLWA00421387"/>
    <s v="P"/>
    <s v="2020-12 Pcard Accrual"/>
    <s v="HelenaK"/>
    <s v="0/JE IC"/>
    <m/>
    <m/>
    <x v="91"/>
    <m/>
    <m/>
    <m/>
    <m/>
    <m/>
    <m/>
    <s v="JRNL01000542"/>
    <s v="JRNL01000542"/>
    <m/>
    <d v="2021-01-07T00:00:00"/>
    <d v="2021-01-08T00:00:00"/>
    <m/>
    <m/>
    <s v="wci_wa"/>
    <n v="0"/>
    <n v="0"/>
    <n v="0"/>
    <n v="0"/>
    <n v="0"/>
    <n v="1"/>
    <n v="55086"/>
    <n v="2111"/>
    <n v="0"/>
    <n v="19"/>
    <m/>
  </r>
  <r>
    <x v="12"/>
    <d v="2020-12-31T00:00:00"/>
    <n v="-4760.32"/>
    <n v="0"/>
    <s v="USD"/>
    <s v="JRNLWA00421748"/>
    <s v="P"/>
    <s v="2020-12 DMR True Up"/>
    <s v="ahuynh"/>
    <s v="0/JE IC"/>
    <m/>
    <m/>
    <x v="92"/>
    <m/>
    <m/>
    <m/>
    <m/>
    <m/>
    <m/>
    <s v="JRNL01001172"/>
    <s v="JRNL01001172"/>
    <m/>
    <d v="2021-01-08T00:00:00"/>
    <d v="2021-01-08T00:00:00"/>
    <m/>
    <m/>
    <s v="wci_wa"/>
    <n v="0"/>
    <n v="0"/>
    <n v="0"/>
    <n v="0"/>
    <n v="0"/>
    <n v="1"/>
    <n v="70036"/>
    <n v="2111"/>
    <n v="0"/>
    <n v="19"/>
    <m/>
  </r>
  <r>
    <x v="29"/>
    <d v="2021-01-14T00:00:00"/>
    <n v="28.73"/>
    <n v="0"/>
    <s v="USD"/>
    <s v="JRNLWA00421842"/>
    <s v="P"/>
    <s v="From Voucher Posting."/>
    <s v="asnell"/>
    <s v="0/JE IC"/>
    <s v="VUS000018694"/>
    <m/>
    <x v="93"/>
    <d v="2021-01-05T00:00:00"/>
    <s v="Supplies for installing Covid supplies i"/>
    <s v="J88540-3"/>
    <s v="PO-2111-21-00070"/>
    <m/>
    <m/>
    <s v="VO05655659"/>
    <s v="JRNL01001471"/>
    <n v="2111"/>
    <d v="2021-01-14T00:00:00"/>
    <d v="2021-01-20T00:00:00"/>
    <n v="28.58"/>
    <d v="2021-02-19T00:00:00"/>
    <s v="wci_wa"/>
    <n v="0"/>
    <n v="0"/>
    <n v="0"/>
    <n v="0"/>
    <n v="0"/>
    <n v="1"/>
    <n v="57147"/>
    <n v="2111"/>
    <n v="0"/>
    <n v="19"/>
    <m/>
  </r>
  <r>
    <x v="24"/>
    <d v="2021-01-31T00:00:00"/>
    <n v="-2023.44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0020"/>
    <n v="2111"/>
    <n v="0"/>
    <n v="19"/>
    <m/>
  </r>
  <r>
    <x v="24"/>
    <d v="2021-01-31T00:00:00"/>
    <n v="-1243.8399999999999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0020"/>
    <n v="2111"/>
    <n v="0"/>
    <n v="19"/>
    <m/>
  </r>
  <r>
    <x v="24"/>
    <d v="2021-01-31T00:00:00"/>
    <n v="-1569.76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0020"/>
    <n v="2111"/>
    <n v="0"/>
    <n v="19"/>
    <m/>
  </r>
  <r>
    <x v="25"/>
    <d v="2021-01-31T00:00:00"/>
    <n v="-227.6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2020"/>
    <n v="2111"/>
    <n v="0"/>
    <n v="19"/>
    <m/>
  </r>
  <r>
    <x v="33"/>
    <d v="2021-01-31T00:00:00"/>
    <n v="-590.16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55020"/>
    <n v="2111"/>
    <n v="0"/>
    <n v="19"/>
    <m/>
  </r>
  <r>
    <x v="34"/>
    <d v="2021-01-31T00:00:00"/>
    <n v="-130.4"/>
    <n v="0"/>
    <s v="USD"/>
    <s v="JRNLWA00421024"/>
    <s v="P"/>
    <s v="2020-12 B2 Hrly In prog Accrl"/>
    <s v="LaurenTi"/>
    <s v="0/JE IC"/>
    <m/>
    <m/>
    <x v="90"/>
    <m/>
    <m/>
    <m/>
    <m/>
    <m/>
    <m/>
    <s v="JRNL00999725"/>
    <s v="JRNL00999732"/>
    <m/>
    <d v="2021-01-06T00:00:00"/>
    <d v="2021-01-07T00:00:00"/>
    <m/>
    <m/>
    <s v="wci_wa"/>
    <n v="0"/>
    <n v="0"/>
    <n v="0"/>
    <n v="0"/>
    <n v="5"/>
    <n v="1"/>
    <n v="70020"/>
    <n v="2111"/>
    <n v="0"/>
    <n v="19"/>
    <m/>
  </r>
  <r>
    <x v="27"/>
    <d v="2021-01-31T00:00:00"/>
    <n v="-386.9"/>
    <n v="0"/>
    <s v="USD"/>
    <s v="JRNLWA00421437"/>
    <s v="P"/>
    <s v="2020-12 Pcard Accrual"/>
    <s v="LaurenTi"/>
    <s v="0/JE IC"/>
    <m/>
    <m/>
    <x v="91"/>
    <m/>
    <m/>
    <m/>
    <m/>
    <m/>
    <m/>
    <s v="JRNL01000542"/>
    <s v="JRNL01000585"/>
    <m/>
    <d v="2021-01-08T00:00:00"/>
    <d v="2021-01-08T00:00:00"/>
    <m/>
    <m/>
    <s v="wci_wa"/>
    <n v="0"/>
    <n v="0"/>
    <n v="0"/>
    <n v="0"/>
    <n v="5"/>
    <n v="1"/>
    <n v="52086"/>
    <n v="2111"/>
    <n v="0"/>
    <n v="19"/>
    <m/>
  </r>
  <r>
    <x v="32"/>
    <d v="2021-01-31T00:00:00"/>
    <n v="-386.89"/>
    <n v="0"/>
    <s v="USD"/>
    <s v="JRNLWA00421437"/>
    <s v="P"/>
    <s v="2020-12 Pcard Accrual"/>
    <s v="LaurenTi"/>
    <s v="0/JE IC"/>
    <m/>
    <m/>
    <x v="91"/>
    <m/>
    <m/>
    <m/>
    <m/>
    <m/>
    <m/>
    <s v="JRNL01000542"/>
    <s v="JRNL01000585"/>
    <m/>
    <d v="2021-01-08T00:00:00"/>
    <d v="2021-01-08T00:00:00"/>
    <m/>
    <m/>
    <s v="wci_wa"/>
    <n v="0"/>
    <n v="0"/>
    <n v="0"/>
    <n v="0"/>
    <n v="5"/>
    <n v="1"/>
    <n v="55086"/>
    <n v="2111"/>
    <n v="0"/>
    <n v="19"/>
    <m/>
  </r>
  <r>
    <x v="27"/>
    <d v="2021-01-31T00:00:00"/>
    <n v="109.88"/>
    <n v="0"/>
    <s v="USD"/>
    <s v="JRNLWA00422273"/>
    <s v="P"/>
    <s v="Pcard Activity - Jan"/>
    <s v="ahuynh"/>
    <s v="0/JE IC"/>
    <m/>
    <m/>
    <x v="84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11"/>
    <n v="0"/>
    <n v="19"/>
    <m/>
  </r>
  <r>
    <x v="27"/>
    <d v="2021-01-31T00:00:00"/>
    <n v="134.12"/>
    <n v="0"/>
    <s v="USD"/>
    <s v="JRNLWA00422273"/>
    <s v="P"/>
    <s v="Pcard Activity - Jan"/>
    <s v="ahuynh"/>
    <s v="0/JE IC"/>
    <m/>
    <m/>
    <x v="14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11"/>
    <n v="0"/>
    <n v="19"/>
    <m/>
  </r>
  <r>
    <x v="27"/>
    <d v="2021-01-31T00:00:00"/>
    <n v="386.9"/>
    <n v="0"/>
    <s v="USD"/>
    <s v="JRNLWA00422273"/>
    <s v="P"/>
    <s v="Pcard Activity - Jan"/>
    <s v="ahuynh"/>
    <s v="0/JE IC"/>
    <m/>
    <m/>
    <x v="91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2086"/>
    <n v="2111"/>
    <n v="0"/>
    <n v="19"/>
    <m/>
  </r>
  <r>
    <x v="32"/>
    <d v="2021-01-31T00:00:00"/>
    <n v="386.89"/>
    <n v="0"/>
    <s v="USD"/>
    <s v="JRNLWA00422273"/>
    <s v="P"/>
    <s v="Pcard Activity - Jan"/>
    <s v="ahuynh"/>
    <s v="0/JE IC"/>
    <m/>
    <m/>
    <x v="91"/>
    <m/>
    <m/>
    <m/>
    <m/>
    <m/>
    <m/>
    <s v="JRNL01002530"/>
    <s v="JRNL01002530"/>
    <m/>
    <d v="2021-02-02T00:00:00"/>
    <d v="2021-02-02T00:00:00"/>
    <m/>
    <m/>
    <s v="wci_wa"/>
    <n v="0"/>
    <n v="0"/>
    <n v="0"/>
    <n v="0"/>
    <n v="0"/>
    <n v="1"/>
    <n v="55086"/>
    <n v="2111"/>
    <n v="0"/>
    <n v="19"/>
    <m/>
  </r>
  <r>
    <x v="35"/>
    <d v="2021-01-31T00:00:00"/>
    <n v="46.05"/>
    <n v="0"/>
    <s v="USD"/>
    <s v="JRNLWA00422646"/>
    <s v="P"/>
    <s v="Workday Expense Report Jan 21"/>
    <s v="HeatherH"/>
    <s v="0/JE IC"/>
    <m/>
    <m/>
    <x v="94"/>
    <m/>
    <m/>
    <m/>
    <m/>
    <m/>
    <m/>
    <s v="JRNL01003152"/>
    <s v="JRNL01003152"/>
    <m/>
    <d v="2021-02-03T00:00:00"/>
    <d v="2021-02-03T00:00:00"/>
    <m/>
    <m/>
    <s v="wci_wa"/>
    <n v="0"/>
    <n v="0"/>
    <n v="0"/>
    <n v="0"/>
    <n v="0"/>
    <n v="1"/>
    <n v="52120"/>
    <n v="2111"/>
    <n v="0"/>
    <n v="19"/>
    <m/>
  </r>
  <r>
    <x v="35"/>
    <d v="2021-01-31T00:00:00"/>
    <n v="52.71"/>
    <n v="0"/>
    <s v="USD"/>
    <s v="JRNLWA00422646"/>
    <s v="P"/>
    <s v="Workday Expense Report Jan 21"/>
    <s v="HeatherH"/>
    <s v="0/JE IC"/>
    <m/>
    <m/>
    <x v="95"/>
    <m/>
    <m/>
    <m/>
    <m/>
    <m/>
    <m/>
    <s v="JRNL01003152"/>
    <s v="JRNL01003152"/>
    <m/>
    <d v="2021-02-03T00:00:00"/>
    <d v="2021-02-03T00:00:00"/>
    <m/>
    <m/>
    <s v="wci_wa"/>
    <n v="0"/>
    <n v="0"/>
    <n v="0"/>
    <n v="0"/>
    <n v="0"/>
    <n v="1"/>
    <n v="52120"/>
    <n v="2111"/>
    <n v="0"/>
    <n v="19"/>
    <m/>
  </r>
  <r>
    <x v="36"/>
    <d v="2021-01-31T00:00:00"/>
    <n v="42.86"/>
    <n v="0"/>
    <s v="USD"/>
    <s v="JRNLWA00422646"/>
    <s v="P"/>
    <s v="Workday Expense Report Jan 21"/>
    <s v="HeatherH"/>
    <s v="0/JE IC"/>
    <m/>
    <m/>
    <x v="96"/>
    <m/>
    <m/>
    <m/>
    <m/>
    <m/>
    <m/>
    <s v="JRNL01003152"/>
    <s v="JRNL01003152"/>
    <m/>
    <d v="2021-02-03T00:00:00"/>
    <d v="2021-02-03T00:00:00"/>
    <m/>
    <m/>
    <s v="wci_wa"/>
    <n v="0"/>
    <n v="0"/>
    <n v="0"/>
    <n v="0"/>
    <n v="0"/>
    <n v="1"/>
    <n v="56201"/>
    <n v="2111"/>
    <n v="0"/>
    <n v="19"/>
    <m/>
  </r>
  <r>
    <x v="24"/>
    <d v="2021-01-31T00:00:00"/>
    <n v="3083.44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4056.8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3367.36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216.32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0020"/>
    <n v="2111"/>
    <n v="0"/>
    <n v="19"/>
    <m/>
  </r>
  <r>
    <x v="25"/>
    <d v="2021-01-31T00:00:00"/>
    <n v="227.6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2020"/>
    <n v="2111"/>
    <n v="0"/>
    <n v="19"/>
    <m/>
  </r>
  <r>
    <x v="33"/>
    <d v="2021-01-31T00:00:00"/>
    <n v="590.16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55020"/>
    <n v="2111"/>
    <n v="0"/>
    <n v="19"/>
    <m/>
  </r>
  <r>
    <x v="34"/>
    <d v="2021-01-31T00:00:00"/>
    <n v="680"/>
    <n v="0"/>
    <s v="USD"/>
    <s v="JRNLWA00422773"/>
    <s v="P"/>
    <s v="B2 1.1.21-1.12.21"/>
    <s v="JacobMas"/>
    <s v="0/JE IC"/>
    <m/>
    <m/>
    <x v="97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020"/>
    <n v="2111"/>
    <n v="0"/>
    <n v="19"/>
    <m/>
  </r>
  <r>
    <x v="1"/>
    <d v="2021-01-31T00:00:00"/>
    <n v="725"/>
    <n v="0"/>
    <s v="USD"/>
    <s v="JRNLWA00422773"/>
    <s v="P"/>
    <s v="B2 1.1.21-1.12.21"/>
    <s v="JacobMas"/>
    <s v="0/JE IC"/>
    <m/>
    <m/>
    <x v="98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165"/>
    <n v="2111"/>
    <n v="0"/>
    <n v="19"/>
    <m/>
  </r>
  <r>
    <x v="1"/>
    <d v="2021-01-31T00:00:00"/>
    <n v="25"/>
    <n v="0"/>
    <s v="USD"/>
    <s v="JRNLWA00422773"/>
    <s v="P"/>
    <s v="B2 1.1.21-1.12.21"/>
    <s v="JacobMas"/>
    <s v="0/JE IC"/>
    <m/>
    <m/>
    <x v="98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165"/>
    <n v="2111"/>
    <n v="0"/>
    <n v="19"/>
    <m/>
  </r>
  <r>
    <x v="1"/>
    <d v="2021-01-31T00:00:00"/>
    <n v="25"/>
    <n v="0"/>
    <s v="USD"/>
    <s v="JRNLWA00422773"/>
    <s v="P"/>
    <s v="B2 1.1.21-1.12.21"/>
    <s v="JacobMas"/>
    <s v="0/JE IC"/>
    <m/>
    <m/>
    <x v="98"/>
    <m/>
    <m/>
    <m/>
    <m/>
    <m/>
    <m/>
    <s v="JRNL01003382"/>
    <s v="JRNL01003382"/>
    <m/>
    <d v="2021-02-03T00:00:00"/>
    <d v="2021-02-03T00:00:00"/>
    <m/>
    <m/>
    <s v="wci_wa"/>
    <n v="0"/>
    <n v="0"/>
    <n v="0"/>
    <n v="0"/>
    <n v="0"/>
    <n v="1"/>
    <n v="70165"/>
    <n v="2111"/>
    <n v="0"/>
    <n v="19"/>
    <m/>
  </r>
  <r>
    <x v="24"/>
    <d v="2021-01-31T00:00:00"/>
    <n v="1521.12"/>
    <n v="0"/>
    <s v="USD"/>
    <s v="JRNLWA00422803"/>
    <s v="P"/>
    <s v="B2 1.20.21_1.26.21"/>
    <s v="JacobMas"/>
    <s v="0/JE IC"/>
    <m/>
    <m/>
    <x v="99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2166.7199999999998"/>
    <n v="0"/>
    <s v="USD"/>
    <s v="JRNLWA00422803"/>
    <s v="P"/>
    <s v="B2 1.20.21_1.26.21"/>
    <s v="JacobMas"/>
    <s v="0/JE IC"/>
    <m/>
    <m/>
    <x v="99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0020"/>
    <n v="2111"/>
    <n v="0"/>
    <n v="19"/>
    <m/>
  </r>
  <r>
    <x v="24"/>
    <d v="2021-01-31T00:00:00"/>
    <n v="518.08000000000004"/>
    <n v="0"/>
    <s v="USD"/>
    <s v="JRNLWA00422803"/>
    <s v="P"/>
    <s v="B2 1.20.21_1.26.21"/>
    <s v="JacobMas"/>
    <s v="0/JE IC"/>
    <m/>
    <m/>
    <x v="99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50020"/>
    <n v="2111"/>
    <n v="0"/>
    <n v="19"/>
    <m/>
  </r>
  <r>
    <x v="1"/>
    <d v="2021-01-31T00:00:00"/>
    <n v="725"/>
    <n v="0"/>
    <s v="USD"/>
    <s v="JRNLWA00422803"/>
    <s v="P"/>
    <s v="B2 1.20.21_1.26.21"/>
    <s v="JacobMas"/>
    <s v="0/JE IC"/>
    <m/>
    <m/>
    <x v="10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70165"/>
    <n v="2111"/>
    <n v="0"/>
    <n v="19"/>
    <m/>
  </r>
  <r>
    <x v="1"/>
    <d v="2021-01-31T00:00:00"/>
    <n v="25"/>
    <n v="0"/>
    <s v="USD"/>
    <s v="JRNLWA00422803"/>
    <s v="P"/>
    <s v="B2 1.20.21_1.26.21"/>
    <s v="JacobMas"/>
    <s v="0/JE IC"/>
    <m/>
    <m/>
    <x v="10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70165"/>
    <n v="2111"/>
    <n v="0"/>
    <n v="19"/>
    <m/>
  </r>
  <r>
    <x v="1"/>
    <d v="2021-01-31T00:00:00"/>
    <n v="25"/>
    <n v="0"/>
    <s v="USD"/>
    <s v="JRNLWA00422803"/>
    <s v="P"/>
    <s v="B2 1.20.21_1.26.21"/>
    <s v="JacobMas"/>
    <s v="0/JE IC"/>
    <m/>
    <m/>
    <x v="100"/>
    <m/>
    <m/>
    <m/>
    <m/>
    <m/>
    <m/>
    <s v="JRNL01003587"/>
    <s v="JRNL01003587"/>
    <m/>
    <d v="2021-02-04T00:00:00"/>
    <d v="2021-02-04T00:00:00"/>
    <m/>
    <m/>
    <s v="wci_wa"/>
    <n v="0"/>
    <n v="0"/>
    <n v="0"/>
    <n v="0"/>
    <n v="0"/>
    <n v="1"/>
    <n v="70165"/>
    <n v="2111"/>
    <n v="0"/>
    <n v="19"/>
    <m/>
  </r>
  <r>
    <x v="24"/>
    <d v="2021-01-31T00:00:00"/>
    <n v="1060"/>
    <n v="0"/>
    <s v="USD"/>
    <s v="JRNLWA00422812"/>
    <s v="P"/>
    <s v="2021-01 B2 Hrly In prog Accrl"/>
    <s v="JacobMas"/>
    <s v="0/JE IC"/>
    <m/>
    <m/>
    <x v="101"/>
    <m/>
    <m/>
    <m/>
    <m/>
    <m/>
    <m/>
    <s v="JRNL01003640"/>
    <s v="JRNL01003640"/>
    <m/>
    <d v="2021-02-04T00:00:00"/>
    <d v="2021-02-04T00:00:00"/>
    <m/>
    <m/>
    <s v="wci_wa"/>
    <n v="0"/>
    <n v="0"/>
    <n v="0"/>
    <n v="0"/>
    <n v="0"/>
    <n v="1"/>
    <n v="50020"/>
    <n v="2111"/>
    <n v="0"/>
    <n v="19"/>
    <m/>
  </r>
  <r>
    <x v="34"/>
    <d v="2021-01-31T00:00:00"/>
    <n v="228.85"/>
    <n v="0"/>
    <s v="USD"/>
    <s v="JRNLWA00422812"/>
    <s v="P"/>
    <s v="2021-01 B2 Hrly In prog Accrl"/>
    <s v="JacobMas"/>
    <s v="0/JE IC"/>
    <m/>
    <m/>
    <x v="101"/>
    <m/>
    <m/>
    <m/>
    <m/>
    <m/>
    <m/>
    <s v="JRNL01003640"/>
    <s v="JRNL01003640"/>
    <m/>
    <d v="2021-02-04T00:00:00"/>
    <d v="2021-02-04T00:00:00"/>
    <m/>
    <m/>
    <s v="wci_wa"/>
    <n v="0"/>
    <n v="0"/>
    <n v="0"/>
    <n v="0"/>
    <n v="0"/>
    <n v="1"/>
    <n v="70020"/>
    <n v="2111"/>
    <n v="0"/>
    <n v="19"/>
    <m/>
  </r>
  <r>
    <x v="24"/>
    <d v="2021-02-28T00:00:00"/>
    <n v="-1060"/>
    <n v="0"/>
    <s v="USD"/>
    <s v="JRNLWA00422832"/>
    <s v="P"/>
    <s v="2021-01 B2 Hrly In prog Accrl"/>
    <s v="HeatherH"/>
    <s v="0/JE IC"/>
    <m/>
    <m/>
    <x v="101"/>
    <m/>
    <m/>
    <m/>
    <m/>
    <m/>
    <m/>
    <s v="JRNL01003640"/>
    <s v="JRNL01003656"/>
    <m/>
    <d v="2021-02-04T00:00:00"/>
    <d v="2021-02-04T00:00:00"/>
    <m/>
    <m/>
    <s v="wci_wa"/>
    <n v="0"/>
    <n v="0"/>
    <n v="0"/>
    <n v="0"/>
    <n v="5"/>
    <n v="1"/>
    <n v="50020"/>
    <n v="2111"/>
    <n v="0"/>
    <n v="19"/>
    <m/>
  </r>
  <r>
    <x v="34"/>
    <d v="2021-02-28T00:00:00"/>
    <n v="-228.85"/>
    <n v="0"/>
    <s v="USD"/>
    <s v="JRNLWA00422832"/>
    <s v="P"/>
    <s v="2021-01 B2 Hrly In prog Accrl"/>
    <s v="HeatherH"/>
    <s v="0/JE IC"/>
    <m/>
    <m/>
    <x v="101"/>
    <m/>
    <m/>
    <m/>
    <m/>
    <m/>
    <m/>
    <s v="JRNL01003640"/>
    <s v="JRNL01003656"/>
    <m/>
    <d v="2021-02-04T00:00:00"/>
    <d v="2021-02-04T00:00:00"/>
    <m/>
    <m/>
    <s v="wci_wa"/>
    <n v="0"/>
    <n v="0"/>
    <n v="0"/>
    <n v="0"/>
    <n v="5"/>
    <n v="1"/>
    <n v="70020"/>
    <n v="2111"/>
    <n v="0"/>
    <n v="19"/>
    <m/>
  </r>
  <r>
    <x v="27"/>
    <d v="2021-02-28T00:00:00"/>
    <n v="1471.29"/>
    <n v="0"/>
    <s v="USD"/>
    <s v="JRNLWA00424283"/>
    <s v="P"/>
    <s v="2021-02 Pcard Activity"/>
    <s v="HeatherH"/>
    <s v="0/JE IC"/>
    <m/>
    <m/>
    <x v="84"/>
    <m/>
    <m/>
    <m/>
    <m/>
    <m/>
    <m/>
    <s v="JRNL01006658"/>
    <s v="JRNL01006658"/>
    <m/>
    <d v="2021-03-03T00:00:00"/>
    <d v="2021-03-03T00:00:00"/>
    <m/>
    <m/>
    <s v="wci_wa"/>
    <n v="0"/>
    <n v="0"/>
    <n v="0"/>
    <n v="0"/>
    <n v="0"/>
    <n v="1"/>
    <n v="52086"/>
    <n v="2111"/>
    <n v="0"/>
    <n v="19"/>
    <m/>
  </r>
  <r>
    <x v="27"/>
    <d v="2021-02-28T00:00:00"/>
    <n v="202.99"/>
    <n v="0"/>
    <s v="USD"/>
    <s v="JRNLWA00424283"/>
    <s v="P"/>
    <s v="2021-02 Pcard Activity"/>
    <s v="HeatherH"/>
    <s v="0/JE IC"/>
    <m/>
    <m/>
    <x v="84"/>
    <m/>
    <m/>
    <m/>
    <m/>
    <m/>
    <m/>
    <s v="JRNL01006658"/>
    <s v="JRNL01006658"/>
    <m/>
    <d v="2021-03-03T00:00:00"/>
    <d v="2021-03-03T00:00:00"/>
    <m/>
    <m/>
    <s v="wci_wa"/>
    <n v="0"/>
    <n v="0"/>
    <n v="0"/>
    <n v="0"/>
    <n v="0"/>
    <n v="1"/>
    <n v="52086"/>
    <n v="2111"/>
    <n v="0"/>
    <n v="19"/>
    <m/>
  </r>
  <r>
    <x v="24"/>
    <d v="2021-02-28T00:00:00"/>
    <n v="3620.48"/>
    <n v="0"/>
    <s v="USD"/>
    <s v="JRNLWA00424365"/>
    <s v="P"/>
    <s v="B2 2.3.21_2.9.21"/>
    <s v="JacobMas"/>
    <s v="0/JE IC"/>
    <m/>
    <m/>
    <x v="102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34"/>
    <d v="2021-02-28T00:00:00"/>
    <n v="228.85"/>
    <n v="0"/>
    <s v="USD"/>
    <s v="JRNLWA00424365"/>
    <s v="P"/>
    <s v="B2 2.3.21_2.9.21"/>
    <s v="JacobMas"/>
    <s v="0/JE IC"/>
    <m/>
    <m/>
    <x v="102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020"/>
    <n v="2111"/>
    <n v="0"/>
    <n v="19"/>
    <m/>
  </r>
  <r>
    <x v="1"/>
    <d v="2021-02-28T00:00:00"/>
    <n v="775"/>
    <n v="0"/>
    <s v="USD"/>
    <s v="JRNLWA00424365"/>
    <s v="P"/>
    <s v="B2 2.3.21_2.9.21"/>
    <s v="JacobMas"/>
    <s v="0/JE IC"/>
    <m/>
    <m/>
    <x v="10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25"/>
    <n v="0"/>
    <s v="USD"/>
    <s v="JRNLWA00424365"/>
    <s v="P"/>
    <s v="B2 2.3.21_2.9.21"/>
    <s v="JacobMas"/>
    <s v="0/JE IC"/>
    <m/>
    <m/>
    <x v="10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25"/>
    <n v="0"/>
    <s v="USD"/>
    <s v="JRNLWA00424365"/>
    <s v="P"/>
    <s v="B2 2.3.21_2.9.21"/>
    <s v="JacobMas"/>
    <s v="0/JE IC"/>
    <m/>
    <m/>
    <x v="103"/>
    <m/>
    <m/>
    <m/>
    <m/>
    <m/>
    <m/>
    <s v="JRNL01006909"/>
    <s v="JRNL01006909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24"/>
    <d v="2021-02-28T00:00:00"/>
    <n v="212"/>
    <n v="0"/>
    <s v="USD"/>
    <s v="JRNLWA00424384"/>
    <s v="P"/>
    <s v="B2 2.17.21_2.23.21"/>
    <s v="JacobMas"/>
    <s v="0/JE IC"/>
    <m/>
    <m/>
    <x v="104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24"/>
    <d v="2021-02-28T00:00:00"/>
    <n v="923.84"/>
    <n v="0"/>
    <s v="USD"/>
    <s v="JRNLWA00424384"/>
    <s v="P"/>
    <s v="B2 2.17.21_2.23.21"/>
    <s v="JacobMas"/>
    <s v="0/JE IC"/>
    <m/>
    <m/>
    <x v="104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1"/>
    <d v="2021-02-28T00:00:00"/>
    <n v="325"/>
    <n v="0"/>
    <s v="USD"/>
    <s v="JRNLWA00424384"/>
    <s v="P"/>
    <s v="B2 2.17.21_2.23.21"/>
    <s v="JacobMas"/>
    <s v="0/JE IC"/>
    <m/>
    <m/>
    <x v="105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25"/>
    <n v="0"/>
    <s v="USD"/>
    <s v="JRNLWA00424384"/>
    <s v="P"/>
    <s v="B2 2.17.21_2.23.21"/>
    <s v="JacobMas"/>
    <s v="0/JE IC"/>
    <m/>
    <m/>
    <x v="105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25"/>
    <n v="0"/>
    <s v="USD"/>
    <s v="JRNLWA00424384"/>
    <s v="P"/>
    <s v="B2 2.17.21_2.23.21"/>
    <s v="JacobMas"/>
    <s v="0/JE IC"/>
    <m/>
    <m/>
    <x v="105"/>
    <m/>
    <m/>
    <m/>
    <m/>
    <m/>
    <m/>
    <s v="JRNL01006978"/>
    <s v="JRNL01006978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24"/>
    <d v="2021-02-28T00:00:00"/>
    <n v="106"/>
    <n v="0"/>
    <s v="USD"/>
    <s v="JRNLWA00424410"/>
    <s v="P"/>
    <s v="2021-02 B2 PP5 Accrual"/>
    <s v="JacobMas"/>
    <s v="0/JE IC"/>
    <m/>
    <m/>
    <x v="106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24"/>
    <d v="2021-02-28T00:00:00"/>
    <n v="461.92"/>
    <n v="0"/>
    <s v="USD"/>
    <s v="JRNLWA00424410"/>
    <s v="P"/>
    <s v="2021-02 B2 PP5 Accrual"/>
    <s v="JacobMas"/>
    <s v="0/JE IC"/>
    <m/>
    <m/>
    <x v="106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50020"/>
    <n v="2111"/>
    <n v="0"/>
    <n v="19"/>
    <m/>
  </r>
  <r>
    <x v="1"/>
    <d v="2021-02-28T00:00:00"/>
    <n v="162.5"/>
    <n v="0"/>
    <s v="USD"/>
    <s v="JRNLWA00424410"/>
    <s v="P"/>
    <s v="2021-02 B2 PP5 Accrual"/>
    <s v="JacobMas"/>
    <s v="0/JE IC"/>
    <m/>
    <m/>
    <x v="107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12.5"/>
    <n v="0"/>
    <s v="USD"/>
    <s v="JRNLWA00424410"/>
    <s v="P"/>
    <s v="2021-02 B2 PP5 Accrual"/>
    <s v="JacobMas"/>
    <s v="0/JE IC"/>
    <m/>
    <m/>
    <x v="107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  <r>
    <x v="1"/>
    <d v="2021-02-28T00:00:00"/>
    <n v="12.5"/>
    <n v="0"/>
    <s v="USD"/>
    <s v="JRNLWA00424410"/>
    <s v="P"/>
    <s v="2021-02 B2 PP5 Accrual"/>
    <s v="JacobMas"/>
    <s v="0/JE IC"/>
    <m/>
    <m/>
    <x v="107"/>
    <m/>
    <m/>
    <m/>
    <m/>
    <m/>
    <m/>
    <s v="JRNL01007041"/>
    <s v="JRNL01007041"/>
    <m/>
    <d v="2021-03-04T00:00:00"/>
    <d v="2021-03-04T00:00:00"/>
    <m/>
    <m/>
    <s v="wci_wa"/>
    <n v="0"/>
    <n v="0"/>
    <n v="0"/>
    <n v="0"/>
    <n v="0"/>
    <n v="1"/>
    <n v="70165"/>
    <n v="2111"/>
    <n v="0"/>
    <n v="1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B552:C846" firstHeaderRow="1" firstDataRow="1" firstDataCol="1"/>
  <pivotFields count="38">
    <pivotField axis="axisRow" showAll="0">
      <items count="38">
        <item x="24"/>
        <item x="4"/>
        <item x="16"/>
        <item x="17"/>
        <item x="18"/>
        <item x="19"/>
        <item x="20"/>
        <item x="21"/>
        <item x="5"/>
        <item x="0"/>
        <item x="14"/>
        <item x="25"/>
        <item x="6"/>
        <item x="7"/>
        <item x="22"/>
        <item x="27"/>
        <item x="35"/>
        <item x="2"/>
        <item x="28"/>
        <item x="31"/>
        <item x="33"/>
        <item x="8"/>
        <item x="9"/>
        <item x="32"/>
        <item x="10"/>
        <item x="23"/>
        <item x="11"/>
        <item x="36"/>
        <item x="26"/>
        <item x="29"/>
        <item x="34"/>
        <item x="12"/>
        <item x="13"/>
        <item x="30"/>
        <item x="1"/>
        <item x="3"/>
        <item x="15"/>
        <item t="default"/>
      </items>
    </pivotField>
    <pivotField numFmtId="14" showAll="0"/>
    <pivotField dataField="1" numFmtId="40" showAll="0"/>
    <pivotField numFmtId="40"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09">
        <item x="60"/>
        <item x="5"/>
        <item x="16"/>
        <item x="17"/>
        <item x="39"/>
        <item x="40"/>
        <item x="38"/>
        <item x="83"/>
        <item x="92"/>
        <item x="106"/>
        <item x="107"/>
        <item x="15"/>
        <item x="6"/>
        <item x="72"/>
        <item x="28"/>
        <item x="51"/>
        <item x="47"/>
        <item x="46"/>
        <item x="79"/>
        <item x="0"/>
        <item x="1"/>
        <item x="9"/>
        <item x="10"/>
        <item x="12"/>
        <item x="11"/>
        <item x="22"/>
        <item x="20"/>
        <item x="21"/>
        <item x="24"/>
        <item x="26"/>
        <item x="25"/>
        <item x="23"/>
        <item x="27"/>
        <item x="42"/>
        <item x="41"/>
        <item x="43"/>
        <item x="44"/>
        <item x="45"/>
        <item x="52"/>
        <item x="53"/>
        <item x="54"/>
        <item x="55"/>
        <item x="56"/>
        <item x="57"/>
        <item x="58"/>
        <item x="59"/>
        <item x="61"/>
        <item x="62"/>
        <item x="63"/>
        <item x="64"/>
        <item x="65"/>
        <item x="66"/>
        <item x="67"/>
        <item x="68"/>
        <item x="69"/>
        <item x="70"/>
        <item x="73"/>
        <item x="74"/>
        <item x="75"/>
        <item x="76"/>
        <item x="86"/>
        <item x="87"/>
        <item x="88"/>
        <item x="89"/>
        <item x="2"/>
        <item x="97"/>
        <item x="98"/>
        <item x="99"/>
        <item x="100"/>
        <item x="102"/>
        <item x="103"/>
        <item x="104"/>
        <item x="105"/>
        <item x="90"/>
        <item x="101"/>
        <item x="81"/>
        <item x="77"/>
        <item x="78"/>
        <item x="82"/>
        <item x="80"/>
        <item x="14"/>
        <item x="94"/>
        <item x="95"/>
        <item x="93"/>
        <item x="71"/>
        <item x="48"/>
        <item x="18"/>
        <item x="8"/>
        <item x="31"/>
        <item x="7"/>
        <item x="50"/>
        <item x="49"/>
        <item x="96"/>
        <item x="34"/>
        <item x="32"/>
        <item x="33"/>
        <item x="29"/>
        <item x="84"/>
        <item x="30"/>
        <item x="3"/>
        <item x="13"/>
        <item x="35"/>
        <item x="85"/>
        <item x="37"/>
        <item x="91"/>
        <item x="4"/>
        <item x="19"/>
        <item x="36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2"/>
  </rowFields>
  <rowItems count="294">
    <i>
      <x/>
    </i>
    <i r="1">
      <x v="9"/>
    </i>
    <i r="1">
      <x v="19"/>
    </i>
    <i r="1">
      <x v="22"/>
    </i>
    <i r="1">
      <x v="24"/>
    </i>
    <i r="1">
      <x v="26"/>
    </i>
    <i r="1">
      <x v="31"/>
    </i>
    <i r="1">
      <x v="36"/>
    </i>
    <i r="1">
      <x v="38"/>
    </i>
    <i r="1">
      <x v="40"/>
    </i>
    <i r="1">
      <x v="42"/>
    </i>
    <i r="1">
      <x v="44"/>
    </i>
    <i r="1">
      <x v="46"/>
    </i>
    <i r="1">
      <x v="48"/>
    </i>
    <i r="1">
      <x v="50"/>
    </i>
    <i r="1">
      <x v="52"/>
    </i>
    <i r="1">
      <x v="54"/>
    </i>
    <i r="1">
      <x v="56"/>
    </i>
    <i r="1">
      <x v="58"/>
    </i>
    <i r="1">
      <x v="60"/>
    </i>
    <i r="1">
      <x v="62"/>
    </i>
    <i r="1">
      <x v="64"/>
    </i>
    <i r="1">
      <x v="65"/>
    </i>
    <i r="1">
      <x v="67"/>
    </i>
    <i r="1">
      <x v="69"/>
    </i>
    <i r="1">
      <x v="71"/>
    </i>
    <i r="1">
      <x v="73"/>
    </i>
    <i r="1">
      <x v="74"/>
    </i>
    <i>
      <x v="1"/>
    </i>
    <i r="1">
      <x v="1"/>
    </i>
    <i r="1">
      <x v="2"/>
    </i>
    <i r="1">
      <x v="4"/>
    </i>
    <i r="1"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2"/>
    </i>
    <i r="1">
      <x v="7"/>
    </i>
    <i r="1">
      <x v="18"/>
    </i>
    <i r="1">
      <x v="21"/>
    </i>
    <i r="1">
      <x v="23"/>
    </i>
    <i r="1">
      <x v="25"/>
    </i>
    <i r="1">
      <x v="28"/>
    </i>
    <i r="1">
      <x v="30"/>
    </i>
    <i>
      <x v="3"/>
    </i>
    <i r="1">
      <x v="18"/>
    </i>
    <i r="1">
      <x v="21"/>
    </i>
    <i r="1">
      <x v="23"/>
    </i>
    <i r="1">
      <x v="25"/>
    </i>
    <i r="1">
      <x v="28"/>
    </i>
    <i r="1">
      <x v="30"/>
    </i>
    <i>
      <x v="4"/>
    </i>
    <i r="1">
      <x v="18"/>
    </i>
    <i r="1">
      <x v="21"/>
    </i>
    <i r="1">
      <x v="23"/>
    </i>
    <i r="1">
      <x v="25"/>
    </i>
    <i r="1">
      <x v="28"/>
    </i>
    <i r="1">
      <x v="30"/>
    </i>
    <i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6"/>
    </i>
    <i r="1">
      <x v="18"/>
    </i>
    <i r="1">
      <x v="21"/>
    </i>
    <i r="1">
      <x v="23"/>
    </i>
    <i r="1">
      <x v="25"/>
    </i>
    <i r="1">
      <x v="28"/>
    </i>
    <i r="1">
      <x v="30"/>
    </i>
    <i>
      <x v="7"/>
    </i>
    <i r="1">
      <x v="18"/>
    </i>
    <i r="1">
      <x v="21"/>
    </i>
    <i r="1">
      <x v="23"/>
    </i>
    <i r="1">
      <x v="25"/>
    </i>
    <i r="1">
      <x v="28"/>
    </i>
    <i r="1">
      <x v="30"/>
    </i>
    <i>
      <x v="8"/>
    </i>
    <i r="1">
      <x v="1"/>
    </i>
    <i r="1">
      <x v="2"/>
    </i>
    <i r="1">
      <x v="4"/>
    </i>
    <i r="1">
      <x v="5"/>
    </i>
    <i r="1">
      <x v="75"/>
    </i>
    <i r="1">
      <x v="76"/>
    </i>
    <i r="1">
      <x v="77"/>
    </i>
    <i r="1">
      <x v="78"/>
    </i>
    <i r="1">
      <x v="79"/>
    </i>
    <i>
      <x v="9"/>
    </i>
    <i r="1">
      <x v="19"/>
    </i>
    <i r="1">
      <x v="22"/>
    </i>
    <i r="1">
      <x v="64"/>
    </i>
    <i>
      <x v="10"/>
    </i>
    <i r="1">
      <x v="3"/>
    </i>
    <i r="1">
      <x v="12"/>
    </i>
    <i r="1">
      <x v="14"/>
    </i>
    <i r="1">
      <x v="15"/>
    </i>
    <i r="1">
      <x v="16"/>
    </i>
    <i r="1">
      <x v="17"/>
    </i>
    <i r="1">
      <x v="86"/>
    </i>
    <i r="1">
      <x v="91"/>
    </i>
    <i r="1">
      <x v="96"/>
    </i>
    <i r="1">
      <x v="97"/>
    </i>
    <i r="1">
      <x v="98"/>
    </i>
    <i r="1">
      <x v="100"/>
    </i>
    <i r="1">
      <x v="102"/>
    </i>
    <i>
      <x v="11"/>
    </i>
    <i r="1">
      <x v="22"/>
    </i>
    <i r="1">
      <x v="34"/>
    </i>
    <i r="1">
      <x v="38"/>
    </i>
    <i r="1">
      <x v="52"/>
    </i>
    <i r="1">
      <x v="56"/>
    </i>
    <i r="1">
      <x v="58"/>
    </i>
    <i r="1">
      <x v="60"/>
    </i>
    <i r="1">
      <x v="62"/>
    </i>
    <i r="1">
      <x v="65"/>
    </i>
    <i r="1">
      <x v="73"/>
    </i>
    <i>
      <x v="12"/>
    </i>
    <i r="1">
      <x v="1"/>
    </i>
    <i r="1">
      <x v="2"/>
    </i>
    <i r="1">
      <x v="4"/>
    </i>
    <i r="1"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 r="1">
      <x v="33"/>
    </i>
    <i>
      <x v="13"/>
    </i>
    <i r="1">
      <x v="1"/>
    </i>
    <i r="1">
      <x v="2"/>
    </i>
    <i r="1">
      <x v="4"/>
    </i>
    <i r="1">
      <x v="5"/>
    </i>
    <i r="1">
      <x v="75"/>
    </i>
    <i r="1">
      <x v="76"/>
    </i>
    <i r="1">
      <x v="77"/>
    </i>
    <i r="1">
      <x v="78"/>
    </i>
    <i r="1">
      <x v="79"/>
    </i>
    <i>
      <x v="14"/>
    </i>
    <i r="1">
      <x v="22"/>
    </i>
    <i>
      <x v="15"/>
    </i>
    <i r="1">
      <x v="80"/>
    </i>
    <i r="1">
      <x v="89"/>
    </i>
    <i r="1">
      <x v="97"/>
    </i>
    <i r="1">
      <x v="104"/>
    </i>
    <i>
      <x v="16"/>
    </i>
    <i r="1">
      <x v="81"/>
    </i>
    <i r="1">
      <x v="82"/>
    </i>
    <i>
      <x v="17"/>
    </i>
    <i r="1">
      <x v="80"/>
    </i>
    <i r="1">
      <x v="89"/>
    </i>
    <i r="1">
      <x v="99"/>
    </i>
    <i>
      <x v="18"/>
    </i>
    <i r="1">
      <x v="106"/>
    </i>
    <i>
      <x v="19"/>
    </i>
    <i r="1">
      <x v="84"/>
    </i>
    <i>
      <x v="20"/>
    </i>
    <i r="1">
      <x v="58"/>
    </i>
    <i r="1">
      <x v="65"/>
    </i>
    <i r="1">
      <x v="73"/>
    </i>
    <i>
      <x v="21"/>
    </i>
    <i r="1">
      <x v="1"/>
    </i>
    <i r="1">
      <x v="2"/>
    </i>
    <i r="1">
      <x v="4"/>
    </i>
    <i r="1"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22"/>
    </i>
    <i r="1">
      <x v="1"/>
    </i>
    <i r="1">
      <x v="2"/>
    </i>
    <i r="1">
      <x v="4"/>
    </i>
    <i r="1">
      <x v="5"/>
    </i>
    <i r="1">
      <x v="75"/>
    </i>
    <i r="1">
      <x v="76"/>
    </i>
    <i r="1">
      <x v="77"/>
    </i>
    <i r="1">
      <x v="78"/>
    </i>
    <i r="1">
      <x v="79"/>
    </i>
    <i>
      <x v="23"/>
    </i>
    <i r="1">
      <x v="13"/>
    </i>
    <i r="1">
      <x v="104"/>
    </i>
    <i>
      <x v="24"/>
    </i>
    <i r="1">
      <x v="1"/>
    </i>
    <i r="1">
      <x v="2"/>
    </i>
    <i r="1">
      <x v="4"/>
    </i>
    <i r="1">
      <x v="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25"/>
    </i>
    <i r="1">
      <x v="18"/>
    </i>
    <i r="1">
      <x v="21"/>
    </i>
    <i r="1">
      <x v="23"/>
    </i>
    <i r="1">
      <x v="25"/>
    </i>
    <i r="1">
      <x v="28"/>
    </i>
    <i r="1">
      <x v="30"/>
    </i>
    <i>
      <x v="26"/>
    </i>
    <i r="1">
      <x v="1"/>
    </i>
    <i r="1">
      <x v="2"/>
    </i>
    <i r="1">
      <x v="4"/>
    </i>
    <i r="1">
      <x v="5"/>
    </i>
    <i r="1">
      <x v="76"/>
    </i>
    <i r="1">
      <x v="77"/>
    </i>
    <i r="1">
      <x v="79"/>
    </i>
    <i>
      <x v="27"/>
    </i>
    <i r="1">
      <x v="92"/>
    </i>
    <i>
      <x v="28"/>
    </i>
    <i r="1">
      <x/>
    </i>
    <i r="1">
      <x v="3"/>
    </i>
    <i r="1">
      <x v="85"/>
    </i>
    <i r="1">
      <x v="88"/>
    </i>
    <i r="1">
      <x v="90"/>
    </i>
    <i r="1">
      <x v="91"/>
    </i>
    <i r="1">
      <x v="100"/>
    </i>
    <i>
      <x v="29"/>
    </i>
    <i r="1">
      <x v="83"/>
    </i>
    <i r="1">
      <x v="93"/>
    </i>
    <i r="1">
      <x v="94"/>
    </i>
    <i r="1">
      <x v="95"/>
    </i>
    <i r="1">
      <x v="101"/>
    </i>
    <i r="1">
      <x v="103"/>
    </i>
    <i r="1">
      <x v="107"/>
    </i>
    <i>
      <x v="30"/>
    </i>
    <i r="1">
      <x v="65"/>
    </i>
    <i r="1">
      <x v="69"/>
    </i>
    <i r="1">
      <x v="73"/>
    </i>
    <i r="1">
      <x v="74"/>
    </i>
    <i>
      <x v="31"/>
    </i>
    <i r="1">
      <x v="1"/>
    </i>
    <i r="1">
      <x v="2"/>
    </i>
    <i r="1">
      <x v="4"/>
    </i>
    <i r="1">
      <x v="5"/>
    </i>
    <i r="1">
      <x v="7"/>
    </i>
    <i r="1">
      <x v="8"/>
    </i>
    <i r="1">
      <x v="18"/>
    </i>
    <i r="1">
      <x v="21"/>
    </i>
    <i r="1">
      <x v="23"/>
    </i>
    <i r="1">
      <x v="25"/>
    </i>
    <i r="1">
      <x v="28"/>
    </i>
    <i r="1">
      <x v="30"/>
    </i>
    <i>
      <x v="32"/>
    </i>
    <i r="1">
      <x v="1"/>
    </i>
    <i r="1">
      <x v="2"/>
    </i>
    <i r="1">
      <x v="4"/>
    </i>
    <i r="1">
      <x v="5"/>
    </i>
    <i r="1">
      <x v="75"/>
    </i>
    <i r="1">
      <x v="76"/>
    </i>
    <i r="1">
      <x v="77"/>
    </i>
    <i r="1">
      <x v="78"/>
    </i>
    <i r="1">
      <x v="79"/>
    </i>
    <i>
      <x v="33"/>
    </i>
    <i r="1">
      <x v="47"/>
    </i>
    <i>
      <x v="34"/>
    </i>
    <i r="1">
      <x v="6"/>
    </i>
    <i r="1">
      <x v="10"/>
    </i>
    <i r="1">
      <x v="20"/>
    </i>
    <i r="1">
      <x v="27"/>
    </i>
    <i r="1">
      <x v="29"/>
    </i>
    <i r="1">
      <x v="32"/>
    </i>
    <i r="1">
      <x v="35"/>
    </i>
    <i r="1">
      <x v="37"/>
    </i>
    <i r="1">
      <x v="39"/>
    </i>
    <i r="1">
      <x v="41"/>
    </i>
    <i r="1">
      <x v="43"/>
    </i>
    <i r="1">
      <x v="45"/>
    </i>
    <i r="1">
      <x v="49"/>
    </i>
    <i r="1">
      <x v="51"/>
    </i>
    <i r="1">
      <x v="53"/>
    </i>
    <i r="1">
      <x v="55"/>
    </i>
    <i r="1">
      <x v="57"/>
    </i>
    <i r="1">
      <x v="59"/>
    </i>
    <i r="1">
      <x v="61"/>
    </i>
    <i r="1">
      <x v="63"/>
    </i>
    <i r="1">
      <x v="66"/>
    </i>
    <i r="1">
      <x v="68"/>
    </i>
    <i r="1">
      <x v="70"/>
    </i>
    <i r="1">
      <x v="72"/>
    </i>
    <i>
      <x v="35"/>
    </i>
    <i r="1">
      <x v="11"/>
    </i>
    <i r="1">
      <x v="105"/>
    </i>
    <i>
      <x v="36"/>
    </i>
    <i r="1">
      <x v="87"/>
    </i>
    <i t="grand">
      <x/>
    </i>
  </rowItems>
  <colItems count="1">
    <i/>
  </colItems>
  <dataFields count="1">
    <dataField name="Sum of Amount USD" fld="2" baseField="0" baseItem="0" numFmtId="43"/>
  </dataFields>
  <formats count="3"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../../2016/General%20Rate%20Filing" TargetMode="External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K19"/>
  <sheetViews>
    <sheetView showGridLines="0" workbookViewId="0"/>
  </sheetViews>
  <sheetFormatPr defaultRowHeight="12.75" x14ac:dyDescent="0.2"/>
  <cols>
    <col min="1" max="2" width="3.42578125" customWidth="1"/>
  </cols>
  <sheetData>
    <row r="2" spans="2:11" ht="18" x14ac:dyDescent="0.25">
      <c r="B2" s="24"/>
    </row>
    <row r="3" spans="2:11" ht="20.25" x14ac:dyDescent="0.3">
      <c r="B3" s="25" t="s">
        <v>46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20.25" x14ac:dyDescent="0.3">
      <c r="B4" s="25"/>
      <c r="C4" s="26"/>
      <c r="D4" s="26"/>
      <c r="E4" s="26"/>
      <c r="F4" s="26"/>
      <c r="G4" s="26"/>
      <c r="H4" s="26"/>
      <c r="I4" s="26"/>
      <c r="J4" s="26"/>
      <c r="K4" s="26"/>
    </row>
    <row r="5" spans="2:11" ht="18" x14ac:dyDescent="0.25">
      <c r="B5" s="27" t="s">
        <v>47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8" x14ac:dyDescent="0.25">
      <c r="B6" s="27" t="s">
        <v>48</v>
      </c>
      <c r="C6" s="26"/>
      <c r="D6" s="26"/>
      <c r="E6" s="26"/>
      <c r="F6" s="26"/>
      <c r="G6" s="26"/>
      <c r="H6" s="26"/>
      <c r="I6" s="26"/>
      <c r="J6" s="26"/>
      <c r="K6" s="26"/>
    </row>
    <row r="7" spans="2:11" ht="18" x14ac:dyDescent="0.25">
      <c r="B7" s="27" t="s">
        <v>49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ht="18" x14ac:dyDescent="0.25">
      <c r="B8" s="24"/>
    </row>
    <row r="9" spans="2:11" ht="18" x14ac:dyDescent="0.25">
      <c r="B9" s="28" t="s">
        <v>50</v>
      </c>
      <c r="C9" s="26"/>
      <c r="D9" s="26"/>
      <c r="E9" s="26"/>
      <c r="F9" s="26"/>
      <c r="G9" s="26"/>
      <c r="H9" s="26"/>
      <c r="I9" s="26"/>
      <c r="J9" s="26"/>
      <c r="K9" s="26"/>
    </row>
    <row r="10" spans="2:11" ht="18" x14ac:dyDescent="0.25">
      <c r="B10" s="24"/>
    </row>
    <row r="11" spans="2:11" ht="15.75" x14ac:dyDescent="0.25">
      <c r="B11" s="29">
        <v>1</v>
      </c>
      <c r="C11" s="30" t="s">
        <v>51</v>
      </c>
    </row>
    <row r="12" spans="2:11" ht="15.75" x14ac:dyDescent="0.25">
      <c r="B12" s="29"/>
      <c r="C12" s="30"/>
    </row>
    <row r="13" spans="2:11" ht="15.75" x14ac:dyDescent="0.25">
      <c r="B13" s="29">
        <v>2</v>
      </c>
      <c r="C13" s="30" t="s">
        <v>52</v>
      </c>
    </row>
    <row r="14" spans="2:11" ht="15.75" x14ac:dyDescent="0.25">
      <c r="B14" s="29"/>
      <c r="C14" s="30"/>
    </row>
    <row r="15" spans="2:11" ht="15.75" x14ac:dyDescent="0.25">
      <c r="B15" s="29">
        <v>3</v>
      </c>
      <c r="C15" s="30" t="s">
        <v>53</v>
      </c>
    </row>
    <row r="16" spans="2:11" ht="15.75" x14ac:dyDescent="0.25">
      <c r="B16" s="29"/>
      <c r="C16" s="30"/>
    </row>
    <row r="17" spans="2:3" ht="15.75" x14ac:dyDescent="0.25">
      <c r="B17" s="29">
        <v>4</v>
      </c>
      <c r="C17" s="30" t="s">
        <v>54</v>
      </c>
    </row>
    <row r="18" spans="2:3" ht="15.75" x14ac:dyDescent="0.25">
      <c r="B18" s="29"/>
      <c r="C18" s="30" t="s">
        <v>55</v>
      </c>
    </row>
    <row r="19" spans="2:3" ht="15" x14ac:dyDescent="0.2">
      <c r="B19" s="30"/>
      <c r="C19" s="30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5">
    <tabColor theme="6" tint="0.39997558519241921"/>
  </sheetPr>
  <dimension ref="A1:AS868"/>
  <sheetViews>
    <sheetView showGridLines="0" view="pageBreakPreview" topLeftCell="A9" zoomScale="90" zoomScaleNormal="60" zoomScaleSheetLayoutView="90" workbookViewId="0">
      <pane ySplit="11" topLeftCell="A843" activePane="bottomLeft" state="frozen"/>
      <selection activeCell="A9" sqref="A9"/>
      <selection pane="bottomLeft" activeCell="D853" sqref="D853"/>
    </sheetView>
  </sheetViews>
  <sheetFormatPr defaultRowHeight="12.75" outlineLevelRow="1" x14ac:dyDescent="0.2"/>
  <cols>
    <col min="1" max="1" width="2.7109375" customWidth="1"/>
    <col min="2" max="2" width="52.5703125" customWidth="1"/>
    <col min="3" max="3" width="21.28515625" customWidth="1"/>
    <col min="4" max="5" width="18.7109375" customWidth="1"/>
    <col min="6" max="6" width="14.140625" customWidth="1"/>
    <col min="7" max="7" width="19" customWidth="1"/>
    <col min="8" max="8" width="7.85546875" customWidth="1"/>
    <col min="9" max="9" width="30.28515625" customWidth="1"/>
    <col min="10" max="10" width="10.28515625" customWidth="1"/>
    <col min="11" max="11" width="13.5703125" customWidth="1"/>
    <col min="12" max="12" width="15.140625" customWidth="1"/>
    <col min="13" max="13" width="29.85546875" customWidth="1"/>
    <col min="14" max="14" width="38.5703125" customWidth="1"/>
    <col min="15" max="15" width="11.42578125" customWidth="1"/>
    <col min="16" max="16" width="35.140625" customWidth="1"/>
    <col min="17" max="17" width="18" customWidth="1"/>
    <col min="18" max="18" width="14.140625" customWidth="1"/>
    <col min="19" max="19" width="17.7109375" customWidth="1"/>
    <col min="20" max="20" width="12.7109375" customWidth="1"/>
    <col min="21" max="21" width="15.85546875" customWidth="1"/>
    <col min="22" max="22" width="13.7109375" bestFit="1" customWidth="1"/>
    <col min="23" max="23" width="13.28515625" customWidth="1"/>
    <col min="24" max="24" width="12.28515625" customWidth="1"/>
    <col min="25" max="25" width="11.5703125" customWidth="1"/>
    <col min="26" max="26" width="9.85546875" customWidth="1"/>
    <col min="27" max="27" width="11.42578125" customWidth="1"/>
    <col min="28" max="28" width="11" customWidth="1"/>
    <col min="29" max="29" width="11.5703125" customWidth="1"/>
    <col min="30" max="30" width="7" customWidth="1"/>
    <col min="31" max="31" width="11.140625" customWidth="1"/>
    <col min="32" max="32" width="11" customWidth="1"/>
    <col min="33" max="33" width="8.5703125" customWidth="1"/>
    <col min="34" max="34" width="8.42578125" customWidth="1"/>
    <col min="35" max="36" width="10.28515625" customWidth="1"/>
    <col min="37" max="37" width="10.140625" customWidth="1"/>
    <col min="38" max="38" width="10.42578125" customWidth="1"/>
    <col min="39" max="39" width="21.140625" customWidth="1"/>
    <col min="40" max="42" width="18.85546875" customWidth="1"/>
    <col min="43" max="43" width="20.42578125" customWidth="1"/>
    <col min="44" max="44" width="9.140625" customWidth="1"/>
    <col min="45" max="45" width="9.140625" hidden="1" customWidth="1"/>
    <col min="46" max="46" width="9.140625" customWidth="1"/>
  </cols>
  <sheetData>
    <row r="1" spans="1:43" hidden="1" outlineLevel="1" x14ac:dyDescent="0.2">
      <c r="A1" s="43" t="b">
        <v>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1:43" hidden="1" outlineLevel="1" x14ac:dyDescent="0.2">
      <c r="B2" t="s">
        <v>60</v>
      </c>
      <c r="C2" t="s">
        <v>61</v>
      </c>
      <c r="D2" s="44" t="s">
        <v>121</v>
      </c>
      <c r="E2" s="44" t="s">
        <v>122</v>
      </c>
      <c r="F2" s="44" t="s">
        <v>127</v>
      </c>
      <c r="G2" t="s">
        <v>62</v>
      </c>
      <c r="H2" t="s">
        <v>63</v>
      </c>
      <c r="I2" t="s">
        <v>19</v>
      </c>
      <c r="J2" t="s">
        <v>20</v>
      </c>
      <c r="K2" t="s">
        <v>71</v>
      </c>
      <c r="L2" t="s">
        <v>21</v>
      </c>
      <c r="M2" t="s">
        <v>65</v>
      </c>
      <c r="N2" t="s">
        <v>64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77</v>
      </c>
      <c r="Y2" t="s">
        <v>78</v>
      </c>
      <c r="Z2" t="s">
        <v>32</v>
      </c>
      <c r="AA2" t="s">
        <v>40</v>
      </c>
      <c r="AB2" t="s">
        <v>66</v>
      </c>
      <c r="AC2" t="s">
        <v>43</v>
      </c>
      <c r="AD2" t="s">
        <v>39</v>
      </c>
      <c r="AE2" t="s">
        <v>41</v>
      </c>
      <c r="AF2" t="s">
        <v>42</v>
      </c>
      <c r="AG2" t="s">
        <v>44</v>
      </c>
      <c r="AH2" t="s">
        <v>38</v>
      </c>
      <c r="AI2" t="s">
        <v>67</v>
      </c>
      <c r="AJ2" t="s">
        <v>68</v>
      </c>
      <c r="AK2" t="s">
        <v>69</v>
      </c>
      <c r="AL2" t="s">
        <v>70</v>
      </c>
      <c r="AM2" t="s">
        <v>79</v>
      </c>
      <c r="AN2" t="s">
        <v>81</v>
      </c>
      <c r="AO2" t="s">
        <v>89</v>
      </c>
      <c r="AP2" t="s">
        <v>88</v>
      </c>
      <c r="AQ2" s="44"/>
    </row>
    <row r="3" spans="1:43" hidden="1" outlineLevel="1" x14ac:dyDescent="0.2">
      <c r="A3" s="43" t="s">
        <v>84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</row>
    <row r="4" spans="1:43" hidden="1" outlineLevel="1" x14ac:dyDescent="0.2">
      <c r="Q4" t="str">
        <f ca="1">_xll.ReportDrill(#REF!,,_xll.PairGroup(_xll.Pair(G20:G548,#REF!),_xll.Pair(AB20:AB548,#REF!)),"JE Lookup")</f>
        <v>OK!: ReportDrill 'JE Lookup' Formula OK [jAction{}]</v>
      </c>
      <c r="U4" t="str">
        <f ca="1">_xll.ReportDrill(,"APDrill",_xll.PairGroup(_xll.PairExt(AQ20:AQ548,"H8")),"AP Detail")</f>
        <v>OK!: ReportDrill 'AP Detail' Formula OK [jAction{}]</v>
      </c>
      <c r="Y4" t="str">
        <f ca="1">_xll.ReportDrill(,"JEStaged_DrillToDetail",_xll.PairGroup(_xll.PairExt(Q19:Q548,"dControlNum",TRUE),_xll.PairExt(AP19:AP548,"dDistrict",TRUE),_xll.PairExt(AO19:AO548,"dApplyMonth",TRUE)),"JE Staged Details")</f>
        <v>OK!: ReportDrill 'JE Staged Details' Formula OK [jAction{}]</v>
      </c>
    </row>
    <row r="5" spans="1:43" hidden="1" outlineLevel="1" x14ac:dyDescent="0.2">
      <c r="B5" t="str">
        <f ca="1">_xll.ReportRange("JEQuery_WithStaged",B20:AS547,B2:AS2,,_xll.Param(DateFrom,DateTo,IF(M12="","all",M12),M13,M14,M15,P12,P13,P14,P15,EntrieShownLimit,IF(DateFrom="",DateFrom,),IF(DateTo="",DateTo,)),TRUE)</f>
        <v>OK!: ReportRange Formula OK [jAction{}]</v>
      </c>
      <c r="Q5" t="str">
        <f ca="1">_xll.ReportDrill(#REF!,,_xll.PairGroup(_xll.Pair(V20:V548,#REF!),_xll.Pair(AS20:AS548,#REF!)),"I/C Originating JE")</f>
        <v>OK!: ReportDrill 'I/C Originating JE' Formula OK [jAction{}]</v>
      </c>
    </row>
    <row r="6" spans="1:43" hidden="1" outlineLevel="1" x14ac:dyDescent="0.2">
      <c r="B6" s="3" t="s">
        <v>82</v>
      </c>
      <c r="D6">
        <v>10000</v>
      </c>
    </row>
    <row r="7" spans="1:43" hidden="1" outlineLevel="1" x14ac:dyDescent="0.2">
      <c r="A7" s="43" t="s">
        <v>85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</row>
    <row r="8" spans="1:43" hidden="1" outlineLevel="1" x14ac:dyDescent="0.2">
      <c r="J8" s="17"/>
    </row>
    <row r="9" spans="1:43" ht="18" collapsed="1" x14ac:dyDescent="0.25">
      <c r="B9" s="1" t="s">
        <v>0</v>
      </c>
      <c r="G9" s="38" t="s">
        <v>87</v>
      </c>
      <c r="P9" s="2"/>
      <c r="U9" s="3"/>
    </row>
    <row r="10" spans="1:43" ht="14.25" x14ac:dyDescent="0.2">
      <c r="B10" s="44" t="s">
        <v>128</v>
      </c>
      <c r="G10" s="37"/>
      <c r="P10" s="2"/>
      <c r="U10" s="3"/>
    </row>
    <row r="11" spans="1:43" x14ac:dyDescent="0.2">
      <c r="G11" s="42" t="s">
        <v>2</v>
      </c>
      <c r="H11" s="4"/>
      <c r="I11" s="5"/>
      <c r="L11" s="4" t="s">
        <v>3</v>
      </c>
      <c r="M11" s="4"/>
      <c r="N11" s="4"/>
      <c r="O11" s="4"/>
      <c r="P11" s="4"/>
      <c r="U11" s="6"/>
    </row>
    <row r="12" spans="1:43" s="3" customFormat="1" x14ac:dyDescent="0.2">
      <c r="H12" s="7" t="s">
        <v>5</v>
      </c>
      <c r="I12" s="33" t="s">
        <v>129</v>
      </c>
      <c r="K12" s="32"/>
      <c r="L12" s="3" t="s">
        <v>6</v>
      </c>
      <c r="M12" s="33" t="s">
        <v>131</v>
      </c>
      <c r="O12" s="7" t="s">
        <v>58</v>
      </c>
      <c r="P12" s="35"/>
      <c r="Z12"/>
      <c r="AA12"/>
      <c r="AB12"/>
      <c r="AH12"/>
      <c r="AI12"/>
      <c r="AJ12"/>
      <c r="AK12"/>
      <c r="AL12"/>
    </row>
    <row r="13" spans="1:43" s="3" customFormat="1" x14ac:dyDescent="0.2">
      <c r="H13" s="7" t="s">
        <v>8</v>
      </c>
      <c r="I13" s="33" t="s">
        <v>132</v>
      </c>
      <c r="K13" s="32"/>
      <c r="L13" s="3" t="s">
        <v>11</v>
      </c>
      <c r="M13" s="33"/>
      <c r="N13"/>
      <c r="O13" s="7" t="s">
        <v>56</v>
      </c>
      <c r="P13" s="34"/>
      <c r="Q13" s="22"/>
      <c r="Z13"/>
      <c r="AA13"/>
      <c r="AB13"/>
      <c r="AH13"/>
      <c r="AI13"/>
      <c r="AJ13"/>
      <c r="AK13"/>
      <c r="AL13"/>
    </row>
    <row r="14" spans="1:43" x14ac:dyDescent="0.2">
      <c r="L14" s="3" t="s">
        <v>13</v>
      </c>
      <c r="M14" s="33" t="s">
        <v>76</v>
      </c>
      <c r="O14" s="7" t="s">
        <v>57</v>
      </c>
      <c r="P14" s="34"/>
      <c r="Q14" s="22"/>
    </row>
    <row r="15" spans="1:43" x14ac:dyDescent="0.2">
      <c r="L15" s="3" t="s">
        <v>14</v>
      </c>
      <c r="M15" s="33" t="s">
        <v>130</v>
      </c>
      <c r="O15" s="7" t="s">
        <v>59</v>
      </c>
      <c r="P15" s="40" t="s">
        <v>92</v>
      </c>
    </row>
    <row r="16" spans="1:43" x14ac:dyDescent="0.2">
      <c r="B16" s="8" t="s">
        <v>16</v>
      </c>
      <c r="C16" s="9"/>
      <c r="D16" s="10">
        <f>SUM(D19:D548)</f>
        <v>445083.24999999959</v>
      </c>
      <c r="E16" s="10">
        <f>SUM(E19:E548)</f>
        <v>0</v>
      </c>
      <c r="F16" t="s">
        <v>83</v>
      </c>
      <c r="N16" s="23"/>
      <c r="O16" s="23"/>
      <c r="P16" s="23"/>
      <c r="Q16" s="23"/>
    </row>
    <row r="17" spans="2:45" x14ac:dyDescent="0.2">
      <c r="B17" s="8" t="s">
        <v>34</v>
      </c>
      <c r="C17" s="9"/>
      <c r="D17" s="11">
        <f>COUNT(D20:D549)</f>
        <v>527</v>
      </c>
      <c r="E17" s="11">
        <f>COUNT(E20:E549)</f>
        <v>527</v>
      </c>
      <c r="F17" s="44" t="s">
        <v>125</v>
      </c>
      <c r="G17" s="39" t="str">
        <f>""&amp;EntrieShownLimit</f>
        <v>10000</v>
      </c>
    </row>
    <row r="18" spans="2:45" x14ac:dyDescent="0.2">
      <c r="O18" s="36"/>
      <c r="R18" s="12" t="s">
        <v>17</v>
      </c>
      <c r="S18" s="13"/>
      <c r="T18" s="13"/>
      <c r="U18" s="13"/>
      <c r="V18" s="13"/>
      <c r="W18" s="13"/>
      <c r="X18" s="13"/>
      <c r="Y18" s="13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2:45" s="46" customFormat="1" ht="29.25" customHeight="1" thickBot="1" x14ac:dyDescent="0.25">
      <c r="B19" s="47" t="s">
        <v>95</v>
      </c>
      <c r="C19" s="48" t="s">
        <v>18</v>
      </c>
      <c r="D19" s="52" t="s">
        <v>123</v>
      </c>
      <c r="E19" s="52" t="s">
        <v>124</v>
      </c>
      <c r="F19" s="52" t="s">
        <v>126</v>
      </c>
      <c r="G19" s="49" t="s">
        <v>96</v>
      </c>
      <c r="H19" s="47" t="s">
        <v>97</v>
      </c>
      <c r="I19" s="47" t="s">
        <v>98</v>
      </c>
      <c r="J19" s="47" t="s">
        <v>20</v>
      </c>
      <c r="K19" s="47" t="s">
        <v>45</v>
      </c>
      <c r="L19" s="47" t="s">
        <v>99</v>
      </c>
      <c r="M19" s="47" t="s">
        <v>100</v>
      </c>
      <c r="N19" s="47" t="s">
        <v>22</v>
      </c>
      <c r="O19" s="50" t="s">
        <v>101</v>
      </c>
      <c r="P19" s="47" t="s">
        <v>102</v>
      </c>
      <c r="Q19" s="47" t="s">
        <v>103</v>
      </c>
      <c r="R19" s="47" t="s">
        <v>104</v>
      </c>
      <c r="S19" s="47" t="s">
        <v>105</v>
      </c>
      <c r="T19" s="47" t="s">
        <v>106</v>
      </c>
      <c r="U19" s="47" t="s">
        <v>107</v>
      </c>
      <c r="V19" s="47" t="s">
        <v>108</v>
      </c>
      <c r="W19" s="47" t="s">
        <v>109</v>
      </c>
      <c r="X19" s="47" t="s">
        <v>110</v>
      </c>
      <c r="Y19" s="47" t="s">
        <v>111</v>
      </c>
      <c r="Z19" s="47" t="s">
        <v>112</v>
      </c>
      <c r="AA19" s="47" t="s">
        <v>113</v>
      </c>
      <c r="AB19" s="47" t="s">
        <v>114</v>
      </c>
      <c r="AC19" s="54" t="s">
        <v>115</v>
      </c>
      <c r="AD19" s="54" t="s">
        <v>116</v>
      </c>
      <c r="AE19" s="54" t="s">
        <v>117</v>
      </c>
      <c r="AF19" s="54" t="s">
        <v>118</v>
      </c>
      <c r="AG19" s="54" t="s">
        <v>119</v>
      </c>
      <c r="AH19" s="54" t="s">
        <v>120</v>
      </c>
      <c r="AI19" s="48" t="s">
        <v>72</v>
      </c>
      <c r="AJ19" s="48" t="s">
        <v>73</v>
      </c>
      <c r="AK19" s="48" t="s">
        <v>74</v>
      </c>
      <c r="AL19" s="48" t="s">
        <v>75</v>
      </c>
      <c r="AM19" s="48" t="s">
        <v>80</v>
      </c>
      <c r="AN19" s="48" t="s">
        <v>81</v>
      </c>
      <c r="AO19" s="51" t="s">
        <v>86</v>
      </c>
      <c r="AP19" s="51" t="s">
        <v>90</v>
      </c>
      <c r="AQ19" s="51" t="s">
        <v>91</v>
      </c>
    </row>
    <row r="20" spans="2:45" x14ac:dyDescent="0.2">
      <c r="B20" t="s">
        <v>133</v>
      </c>
      <c r="C20" s="31">
        <v>43921</v>
      </c>
      <c r="D20" s="15">
        <v>942.4</v>
      </c>
      <c r="E20" s="15">
        <v>0</v>
      </c>
      <c r="F20" s="53" t="s">
        <v>134</v>
      </c>
      <c r="G20" t="s">
        <v>135</v>
      </c>
      <c r="H20" s="41" t="s">
        <v>136</v>
      </c>
      <c r="I20" t="s">
        <v>137</v>
      </c>
      <c r="J20" t="s">
        <v>138</v>
      </c>
      <c r="K20" t="s">
        <v>139</v>
      </c>
      <c r="L20" s="17"/>
      <c r="M20" s="17"/>
      <c r="N20" s="17" t="s">
        <v>140</v>
      </c>
      <c r="O20" s="36"/>
      <c r="P20" s="17"/>
      <c r="Q20" s="17"/>
      <c r="U20" t="s">
        <v>141</v>
      </c>
      <c r="V20" t="s">
        <v>141</v>
      </c>
      <c r="X20" s="31">
        <v>43922</v>
      </c>
      <c r="Y20" s="31">
        <v>43922</v>
      </c>
      <c r="AA20" s="31"/>
      <c r="AB20" t="s">
        <v>9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1</v>
      </c>
      <c r="AI20">
        <v>50065</v>
      </c>
      <c r="AJ20">
        <v>2111</v>
      </c>
      <c r="AK20">
        <v>0</v>
      </c>
      <c r="AL20">
        <v>19</v>
      </c>
      <c r="AO20" s="41"/>
      <c r="AP20" s="41"/>
      <c r="AQ20" t="str">
        <f>IF(LEFT(U20,2)="VO",U20,"")</f>
        <v/>
      </c>
      <c r="AS20" t="str">
        <f>IF(RIGHT(K20,2)="IC",IF(OR(AB20="wci_canada",AB20="wci_can_corp"),"wci_can_Corp","wci_corp"),AB20)</f>
        <v>wci_corp</v>
      </c>
    </row>
    <row r="21" spans="2:45" x14ac:dyDescent="0.2">
      <c r="B21" t="s">
        <v>142</v>
      </c>
      <c r="C21" s="31">
        <v>43921</v>
      </c>
      <c r="D21" s="15">
        <v>675</v>
      </c>
      <c r="E21" s="15">
        <v>0</v>
      </c>
      <c r="F21" s="53" t="s">
        <v>134</v>
      </c>
      <c r="G21" t="s">
        <v>135</v>
      </c>
      <c r="H21" s="41" t="s">
        <v>136</v>
      </c>
      <c r="I21" t="s">
        <v>137</v>
      </c>
      <c r="J21" t="s">
        <v>138</v>
      </c>
      <c r="K21" t="s">
        <v>139</v>
      </c>
      <c r="L21" s="17"/>
      <c r="M21" s="17"/>
      <c r="N21" s="17" t="s">
        <v>143</v>
      </c>
      <c r="O21" s="36"/>
      <c r="P21" s="17"/>
      <c r="Q21" s="17"/>
      <c r="U21" t="s">
        <v>141</v>
      </c>
      <c r="V21" t="s">
        <v>141</v>
      </c>
      <c r="X21" s="31">
        <v>43922</v>
      </c>
      <c r="Y21" s="31">
        <v>43922</v>
      </c>
      <c r="AA21" s="31"/>
      <c r="AB21" t="s">
        <v>9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1</v>
      </c>
      <c r="AI21">
        <v>70165</v>
      </c>
      <c r="AJ21">
        <v>2111</v>
      </c>
      <c r="AK21">
        <v>0</v>
      </c>
      <c r="AL21">
        <v>19</v>
      </c>
      <c r="AO21" s="41"/>
      <c r="AP21" s="41"/>
      <c r="AQ21" t="str">
        <f t="shared" ref="AQ21:AQ84" si="0">IF(LEFT(U21,2)="VO",U21,"")</f>
        <v/>
      </c>
      <c r="AS21" t="str">
        <f t="shared" ref="AS21:AS84" si="1">IF(RIGHT(K21,2)="IC",IF(OR(AB21="wci_canada",AB21="wci_can_corp"),"wci_can_Corp","wci_corp"),AB21)</f>
        <v>wci_corp</v>
      </c>
    </row>
    <row r="22" spans="2:45" x14ac:dyDescent="0.2">
      <c r="B22" t="s">
        <v>142</v>
      </c>
      <c r="C22" s="31">
        <v>43921</v>
      </c>
      <c r="D22" s="15">
        <v>25</v>
      </c>
      <c r="E22" s="15">
        <v>0</v>
      </c>
      <c r="F22" s="53" t="s">
        <v>134</v>
      </c>
      <c r="G22" t="s">
        <v>135</v>
      </c>
      <c r="H22" s="41" t="s">
        <v>136</v>
      </c>
      <c r="I22" t="s">
        <v>137</v>
      </c>
      <c r="J22" t="s">
        <v>138</v>
      </c>
      <c r="K22" t="s">
        <v>139</v>
      </c>
      <c r="L22" s="17"/>
      <c r="M22" s="17"/>
      <c r="N22" s="17" t="s">
        <v>143</v>
      </c>
      <c r="O22" s="36"/>
      <c r="P22" s="17"/>
      <c r="Q22" s="17"/>
      <c r="U22" t="s">
        <v>141</v>
      </c>
      <c r="V22" t="s">
        <v>141</v>
      </c>
      <c r="X22" s="31">
        <v>43922</v>
      </c>
      <c r="Y22" s="31">
        <v>43922</v>
      </c>
      <c r="AA22" s="31"/>
      <c r="AB22" t="s">
        <v>9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1</v>
      </c>
      <c r="AI22">
        <v>70165</v>
      </c>
      <c r="AJ22">
        <v>2111</v>
      </c>
      <c r="AK22">
        <v>0</v>
      </c>
      <c r="AL22">
        <v>19</v>
      </c>
      <c r="AO22" s="41"/>
      <c r="AP22" s="41"/>
      <c r="AQ22" t="str">
        <f t="shared" si="0"/>
        <v/>
      </c>
      <c r="AS22" t="str">
        <f t="shared" si="1"/>
        <v>wci_corp</v>
      </c>
    </row>
    <row r="23" spans="2:45" x14ac:dyDescent="0.2">
      <c r="B23" t="s">
        <v>142</v>
      </c>
      <c r="C23" s="31">
        <v>43921</v>
      </c>
      <c r="D23" s="15">
        <v>75</v>
      </c>
      <c r="E23" s="15">
        <v>0</v>
      </c>
      <c r="F23" s="53" t="s">
        <v>134</v>
      </c>
      <c r="G23" t="s">
        <v>135</v>
      </c>
      <c r="H23" s="41" t="s">
        <v>136</v>
      </c>
      <c r="I23" t="s">
        <v>137</v>
      </c>
      <c r="J23" t="s">
        <v>138</v>
      </c>
      <c r="K23" t="s">
        <v>139</v>
      </c>
      <c r="L23" s="17"/>
      <c r="M23" s="17"/>
      <c r="N23" s="17" t="s">
        <v>143</v>
      </c>
      <c r="O23" s="36"/>
      <c r="P23" s="17"/>
      <c r="Q23" s="17"/>
      <c r="U23" t="s">
        <v>141</v>
      </c>
      <c r="V23" t="s">
        <v>141</v>
      </c>
      <c r="X23" s="31">
        <v>43922</v>
      </c>
      <c r="Y23" s="31">
        <v>43922</v>
      </c>
      <c r="AA23" s="31"/>
      <c r="AB23" t="s">
        <v>9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1</v>
      </c>
      <c r="AI23">
        <v>70165</v>
      </c>
      <c r="AJ23">
        <v>2111</v>
      </c>
      <c r="AK23">
        <v>0</v>
      </c>
      <c r="AL23">
        <v>19</v>
      </c>
      <c r="AO23" s="41"/>
      <c r="AP23" s="41"/>
      <c r="AQ23" t="str">
        <f t="shared" si="0"/>
        <v/>
      </c>
      <c r="AS23" t="str">
        <f t="shared" si="1"/>
        <v>wci_corp</v>
      </c>
    </row>
    <row r="24" spans="2:45" x14ac:dyDescent="0.2">
      <c r="B24" t="s">
        <v>142</v>
      </c>
      <c r="C24" s="31">
        <v>43921</v>
      </c>
      <c r="D24" s="15">
        <v>25</v>
      </c>
      <c r="E24" s="15">
        <v>0</v>
      </c>
      <c r="F24" s="53" t="s">
        <v>134</v>
      </c>
      <c r="G24" t="s">
        <v>135</v>
      </c>
      <c r="H24" s="41" t="s">
        <v>136</v>
      </c>
      <c r="I24" t="s">
        <v>137</v>
      </c>
      <c r="J24" t="s">
        <v>138</v>
      </c>
      <c r="K24" t="s">
        <v>139</v>
      </c>
      <c r="L24" s="17"/>
      <c r="M24" s="17"/>
      <c r="N24" s="17" t="s">
        <v>143</v>
      </c>
      <c r="O24" s="36"/>
      <c r="P24" s="17"/>
      <c r="Q24" s="17"/>
      <c r="U24" t="s">
        <v>141</v>
      </c>
      <c r="V24" t="s">
        <v>141</v>
      </c>
      <c r="X24" s="31">
        <v>43922</v>
      </c>
      <c r="Y24" s="31">
        <v>43922</v>
      </c>
      <c r="AA24" s="31"/>
      <c r="AB24" t="s">
        <v>9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1</v>
      </c>
      <c r="AI24">
        <v>70165</v>
      </c>
      <c r="AJ24">
        <v>2111</v>
      </c>
      <c r="AK24">
        <v>0</v>
      </c>
      <c r="AL24">
        <v>19</v>
      </c>
      <c r="AO24" s="41"/>
      <c r="AP24" s="41"/>
      <c r="AQ24" t="str">
        <f t="shared" si="0"/>
        <v/>
      </c>
      <c r="AS24" t="str">
        <f t="shared" si="1"/>
        <v>wci_corp</v>
      </c>
    </row>
    <row r="25" spans="2:45" x14ac:dyDescent="0.2">
      <c r="B25" t="s">
        <v>133</v>
      </c>
      <c r="C25" s="31">
        <v>43921</v>
      </c>
      <c r="D25" s="15">
        <v>424</v>
      </c>
      <c r="E25" s="15">
        <v>0</v>
      </c>
      <c r="F25" s="53" t="s">
        <v>134</v>
      </c>
      <c r="G25" t="s">
        <v>144</v>
      </c>
      <c r="H25" s="41" t="s">
        <v>136</v>
      </c>
      <c r="I25" t="s">
        <v>145</v>
      </c>
      <c r="J25" t="s">
        <v>138</v>
      </c>
      <c r="K25" t="s">
        <v>139</v>
      </c>
      <c r="L25" s="17"/>
      <c r="M25" s="17"/>
      <c r="N25" s="17" t="s">
        <v>146</v>
      </c>
      <c r="O25" s="36"/>
      <c r="P25" s="17"/>
      <c r="Q25" s="17"/>
      <c r="U25" t="s">
        <v>147</v>
      </c>
      <c r="V25" t="s">
        <v>147</v>
      </c>
      <c r="X25" s="31">
        <v>43922</v>
      </c>
      <c r="Y25" s="31">
        <v>43922</v>
      </c>
      <c r="AA25" s="31"/>
      <c r="AB25" t="s">
        <v>9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50065</v>
      </c>
      <c r="AJ25">
        <v>2111</v>
      </c>
      <c r="AK25">
        <v>0</v>
      </c>
      <c r="AL25">
        <v>19</v>
      </c>
      <c r="AO25" s="41"/>
      <c r="AP25" s="41"/>
      <c r="AQ25" t="str">
        <f t="shared" si="0"/>
        <v/>
      </c>
      <c r="AS25" t="str">
        <f t="shared" si="1"/>
        <v>wci_corp</v>
      </c>
    </row>
    <row r="26" spans="2:45" x14ac:dyDescent="0.2">
      <c r="B26" t="s">
        <v>148</v>
      </c>
      <c r="C26" s="31">
        <v>43921</v>
      </c>
      <c r="D26" s="15">
        <v>116</v>
      </c>
      <c r="E26" s="15">
        <v>0</v>
      </c>
      <c r="F26" s="53" t="s">
        <v>134</v>
      </c>
      <c r="G26" t="s">
        <v>149</v>
      </c>
      <c r="H26" s="41" t="s">
        <v>136</v>
      </c>
      <c r="I26" t="s">
        <v>150</v>
      </c>
      <c r="J26" t="s">
        <v>151</v>
      </c>
      <c r="K26" t="s">
        <v>139</v>
      </c>
      <c r="L26" s="17"/>
      <c r="M26" s="17"/>
      <c r="N26" s="17" t="s">
        <v>152</v>
      </c>
      <c r="O26" s="36"/>
      <c r="P26" s="17"/>
      <c r="Q26" s="17"/>
      <c r="U26" t="s">
        <v>153</v>
      </c>
      <c r="V26" t="s">
        <v>153</v>
      </c>
      <c r="X26" s="31">
        <v>43923</v>
      </c>
      <c r="Y26" s="31">
        <v>43923</v>
      </c>
      <c r="AA26" s="31"/>
      <c r="AB26" t="s">
        <v>9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1</v>
      </c>
      <c r="AI26">
        <v>52125</v>
      </c>
      <c r="AJ26">
        <v>2111</v>
      </c>
      <c r="AK26">
        <v>0</v>
      </c>
      <c r="AL26">
        <v>19</v>
      </c>
      <c r="AO26" s="41"/>
      <c r="AP26" s="41"/>
      <c r="AQ26" t="str">
        <f t="shared" si="0"/>
        <v/>
      </c>
      <c r="AS26" t="str">
        <f t="shared" si="1"/>
        <v>wci_corp</v>
      </c>
    </row>
    <row r="27" spans="2:45" x14ac:dyDescent="0.2">
      <c r="B27" t="s">
        <v>154</v>
      </c>
      <c r="C27" s="31">
        <v>43921</v>
      </c>
      <c r="D27" s="15">
        <v>16.47</v>
      </c>
      <c r="E27" s="15">
        <v>0</v>
      </c>
      <c r="F27" s="53" t="s">
        <v>134</v>
      </c>
      <c r="G27" t="s">
        <v>149</v>
      </c>
      <c r="H27" s="41" t="s">
        <v>136</v>
      </c>
      <c r="I27" t="s">
        <v>150</v>
      </c>
      <c r="J27" t="s">
        <v>151</v>
      </c>
      <c r="K27" t="s">
        <v>139</v>
      </c>
      <c r="L27" s="17"/>
      <c r="M27" s="17"/>
      <c r="N27" s="17" t="s">
        <v>155</v>
      </c>
      <c r="O27" s="36"/>
      <c r="P27" s="17"/>
      <c r="Q27" s="17"/>
      <c r="U27" t="s">
        <v>153</v>
      </c>
      <c r="V27" t="s">
        <v>153</v>
      </c>
      <c r="X27" s="31">
        <v>43923</v>
      </c>
      <c r="Y27" s="31">
        <v>43923</v>
      </c>
      <c r="AA27" s="31"/>
      <c r="AB27" t="s">
        <v>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70185</v>
      </c>
      <c r="AJ27">
        <v>2111</v>
      </c>
      <c r="AK27">
        <v>0</v>
      </c>
      <c r="AL27">
        <v>19</v>
      </c>
      <c r="AO27" s="41"/>
      <c r="AP27" s="41"/>
      <c r="AQ27" t="str">
        <f t="shared" si="0"/>
        <v/>
      </c>
      <c r="AS27" t="str">
        <f t="shared" si="1"/>
        <v>wci_corp</v>
      </c>
    </row>
    <row r="28" spans="2:45" x14ac:dyDescent="0.2">
      <c r="B28" t="s">
        <v>156</v>
      </c>
      <c r="C28" s="31">
        <v>43921</v>
      </c>
      <c r="D28" s="15">
        <v>18394.18</v>
      </c>
      <c r="E28" s="15">
        <v>0</v>
      </c>
      <c r="F28" s="53" t="s">
        <v>134</v>
      </c>
      <c r="G28" t="s">
        <v>157</v>
      </c>
      <c r="H28" s="41" t="s">
        <v>136</v>
      </c>
      <c r="I28" t="s">
        <v>158</v>
      </c>
      <c r="J28" t="s">
        <v>151</v>
      </c>
      <c r="K28" t="s">
        <v>139</v>
      </c>
      <c r="L28" s="17"/>
      <c r="M28" s="17"/>
      <c r="N28" s="17" t="s">
        <v>159</v>
      </c>
      <c r="O28" s="36"/>
      <c r="P28" s="17"/>
      <c r="Q28" s="17"/>
      <c r="U28" t="s">
        <v>160</v>
      </c>
      <c r="V28" t="s">
        <v>160</v>
      </c>
      <c r="X28" s="31">
        <v>43928</v>
      </c>
      <c r="Y28" s="31">
        <v>43928</v>
      </c>
      <c r="AA28" s="31"/>
      <c r="AB28" t="s">
        <v>9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1</v>
      </c>
      <c r="AI28">
        <v>50036</v>
      </c>
      <c r="AJ28">
        <v>2111</v>
      </c>
      <c r="AK28">
        <v>0</v>
      </c>
      <c r="AL28">
        <v>19</v>
      </c>
      <c r="AO28" s="41"/>
      <c r="AP28" s="41"/>
      <c r="AQ28" t="str">
        <f t="shared" si="0"/>
        <v/>
      </c>
      <c r="AS28" t="str">
        <f t="shared" si="1"/>
        <v>wci_corp</v>
      </c>
    </row>
    <row r="29" spans="2:45" x14ac:dyDescent="0.2">
      <c r="B29" t="s">
        <v>161</v>
      </c>
      <c r="C29" s="31">
        <v>43921</v>
      </c>
      <c r="D29" s="15">
        <v>1407.16</v>
      </c>
      <c r="E29" s="15">
        <v>0</v>
      </c>
      <c r="F29" s="53" t="s">
        <v>134</v>
      </c>
      <c r="G29" t="s">
        <v>157</v>
      </c>
      <c r="H29" s="41" t="s">
        <v>136</v>
      </c>
      <c r="I29" t="s">
        <v>158</v>
      </c>
      <c r="J29" t="s">
        <v>151</v>
      </c>
      <c r="K29" t="s">
        <v>139</v>
      </c>
      <c r="L29" s="17"/>
      <c r="M29" s="17"/>
      <c r="N29" s="17" t="s">
        <v>159</v>
      </c>
      <c r="O29" s="36"/>
      <c r="P29" s="17"/>
      <c r="Q29" s="17"/>
      <c r="U29" t="s">
        <v>160</v>
      </c>
      <c r="V29" t="s">
        <v>160</v>
      </c>
      <c r="X29" s="31">
        <v>43928</v>
      </c>
      <c r="Y29" s="31">
        <v>43928</v>
      </c>
      <c r="AA29" s="31"/>
      <c r="AB29" t="s">
        <v>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50050</v>
      </c>
      <c r="AJ29">
        <v>2111</v>
      </c>
      <c r="AK29">
        <v>0</v>
      </c>
      <c r="AL29">
        <v>19</v>
      </c>
      <c r="AO29" s="41"/>
      <c r="AP29" s="41"/>
      <c r="AQ29" t="str">
        <f t="shared" si="0"/>
        <v/>
      </c>
      <c r="AS29" t="str">
        <f t="shared" si="1"/>
        <v>wci_corp</v>
      </c>
    </row>
    <row r="30" spans="2:45" x14ac:dyDescent="0.2">
      <c r="B30" t="s">
        <v>162</v>
      </c>
      <c r="C30" s="31">
        <v>43921</v>
      </c>
      <c r="D30" s="15">
        <v>2990.68</v>
      </c>
      <c r="E30" s="15">
        <v>0</v>
      </c>
      <c r="F30" s="53" t="s">
        <v>134</v>
      </c>
      <c r="G30" t="s">
        <v>157</v>
      </c>
      <c r="H30" s="41" t="s">
        <v>136</v>
      </c>
      <c r="I30" t="s">
        <v>158</v>
      </c>
      <c r="J30" t="s">
        <v>151</v>
      </c>
      <c r="K30" t="s">
        <v>139</v>
      </c>
      <c r="L30" s="17"/>
      <c r="M30" s="17"/>
      <c r="N30" s="17" t="s">
        <v>159</v>
      </c>
      <c r="O30" s="36"/>
      <c r="P30" s="17"/>
      <c r="Q30" s="17"/>
      <c r="U30" t="s">
        <v>160</v>
      </c>
      <c r="V30" t="s">
        <v>160</v>
      </c>
      <c r="X30" s="31">
        <v>43928</v>
      </c>
      <c r="Y30" s="31">
        <v>43928</v>
      </c>
      <c r="AA30" s="31"/>
      <c r="AB30" t="s">
        <v>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1</v>
      </c>
      <c r="AI30">
        <v>52036</v>
      </c>
      <c r="AJ30">
        <v>2111</v>
      </c>
      <c r="AK30">
        <v>0</v>
      </c>
      <c r="AL30">
        <v>19</v>
      </c>
      <c r="AO30" s="41"/>
      <c r="AP30" s="41"/>
      <c r="AQ30" t="str">
        <f t="shared" si="0"/>
        <v/>
      </c>
      <c r="AS30" t="str">
        <f t="shared" si="1"/>
        <v>wci_corp</v>
      </c>
    </row>
    <row r="31" spans="2:45" x14ac:dyDescent="0.2">
      <c r="B31" t="s">
        <v>163</v>
      </c>
      <c r="C31" s="31">
        <v>43921</v>
      </c>
      <c r="D31" s="15">
        <v>228.79</v>
      </c>
      <c r="E31" s="15">
        <v>0</v>
      </c>
      <c r="F31" s="53" t="s">
        <v>134</v>
      </c>
      <c r="G31" t="s">
        <v>157</v>
      </c>
      <c r="H31" s="41" t="s">
        <v>136</v>
      </c>
      <c r="I31" t="s">
        <v>158</v>
      </c>
      <c r="J31" t="s">
        <v>151</v>
      </c>
      <c r="K31" t="s">
        <v>139</v>
      </c>
      <c r="L31" s="17"/>
      <c r="M31" s="17"/>
      <c r="N31" s="17" t="s">
        <v>159</v>
      </c>
      <c r="O31" s="36"/>
      <c r="P31" s="17"/>
      <c r="Q31" s="17"/>
      <c r="U31" t="s">
        <v>160</v>
      </c>
      <c r="V31" t="s">
        <v>160</v>
      </c>
      <c r="X31" s="31">
        <v>43928</v>
      </c>
      <c r="Y31" s="31">
        <v>43928</v>
      </c>
      <c r="AA31" s="31"/>
      <c r="AB31" t="s">
        <v>9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1</v>
      </c>
      <c r="AI31">
        <v>52050</v>
      </c>
      <c r="AJ31">
        <v>2111</v>
      </c>
      <c r="AK31">
        <v>0</v>
      </c>
      <c r="AL31">
        <v>19</v>
      </c>
      <c r="AO31" s="41"/>
      <c r="AP31" s="41"/>
      <c r="AQ31" t="str">
        <f t="shared" si="0"/>
        <v/>
      </c>
      <c r="AS31" t="str">
        <f t="shared" si="1"/>
        <v>wci_corp</v>
      </c>
    </row>
    <row r="32" spans="2:45" x14ac:dyDescent="0.2">
      <c r="B32" t="s">
        <v>164</v>
      </c>
      <c r="C32" s="31">
        <v>43921</v>
      </c>
      <c r="D32" s="15">
        <v>807.04</v>
      </c>
      <c r="E32" s="15">
        <v>0</v>
      </c>
      <c r="F32" s="53" t="s">
        <v>134</v>
      </c>
      <c r="G32" t="s">
        <v>157</v>
      </c>
      <c r="H32" s="41" t="s">
        <v>136</v>
      </c>
      <c r="I32" t="s">
        <v>158</v>
      </c>
      <c r="J32" t="s">
        <v>151</v>
      </c>
      <c r="K32" t="s">
        <v>139</v>
      </c>
      <c r="L32" s="17"/>
      <c r="M32" s="17"/>
      <c r="N32" s="17" t="s">
        <v>159</v>
      </c>
      <c r="O32" s="36"/>
      <c r="P32" s="17"/>
      <c r="Q32" s="17"/>
      <c r="U32" t="s">
        <v>160</v>
      </c>
      <c r="V32" t="s">
        <v>160</v>
      </c>
      <c r="X32" s="31">
        <v>43928</v>
      </c>
      <c r="Y32" s="31">
        <v>43928</v>
      </c>
      <c r="AA32" s="31"/>
      <c r="AB32" t="s">
        <v>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1</v>
      </c>
      <c r="AI32">
        <v>55036</v>
      </c>
      <c r="AJ32">
        <v>2111</v>
      </c>
      <c r="AK32">
        <v>0</v>
      </c>
      <c r="AL32">
        <v>19</v>
      </c>
      <c r="AO32" s="41"/>
      <c r="AP32" s="41"/>
      <c r="AQ32" t="str">
        <f t="shared" si="0"/>
        <v/>
      </c>
      <c r="AS32" t="str">
        <f t="shared" si="1"/>
        <v>wci_corp</v>
      </c>
    </row>
    <row r="33" spans="2:45" x14ac:dyDescent="0.2">
      <c r="B33" t="s">
        <v>165</v>
      </c>
      <c r="C33" s="31">
        <v>43921</v>
      </c>
      <c r="D33" s="15">
        <v>61.74</v>
      </c>
      <c r="E33" s="15">
        <v>0</v>
      </c>
      <c r="F33" s="53" t="s">
        <v>134</v>
      </c>
      <c r="G33" t="s">
        <v>157</v>
      </c>
      <c r="H33" s="41" t="s">
        <v>136</v>
      </c>
      <c r="I33" t="s">
        <v>158</v>
      </c>
      <c r="J33" t="s">
        <v>151</v>
      </c>
      <c r="K33" t="s">
        <v>139</v>
      </c>
      <c r="L33" s="17"/>
      <c r="M33" s="17"/>
      <c r="N33" s="17" t="s">
        <v>159</v>
      </c>
      <c r="O33" s="36"/>
      <c r="P33" s="17"/>
      <c r="Q33" s="17"/>
      <c r="U33" t="s">
        <v>160</v>
      </c>
      <c r="V33" t="s">
        <v>160</v>
      </c>
      <c r="X33" s="31">
        <v>43928</v>
      </c>
      <c r="Y33" s="31">
        <v>43928</v>
      </c>
      <c r="AA33" s="31"/>
      <c r="AB33" t="s">
        <v>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1</v>
      </c>
      <c r="AI33">
        <v>55050</v>
      </c>
      <c r="AJ33">
        <v>2111</v>
      </c>
      <c r="AK33">
        <v>0</v>
      </c>
      <c r="AL33">
        <v>19</v>
      </c>
      <c r="AO33" s="41"/>
      <c r="AP33" s="41"/>
      <c r="AQ33" t="str">
        <f t="shared" si="0"/>
        <v/>
      </c>
      <c r="AS33" t="str">
        <f t="shared" si="1"/>
        <v>wci_corp</v>
      </c>
    </row>
    <row r="34" spans="2:45" x14ac:dyDescent="0.2">
      <c r="B34" t="s">
        <v>166</v>
      </c>
      <c r="C34" s="31">
        <v>43921</v>
      </c>
      <c r="D34" s="15">
        <v>1050</v>
      </c>
      <c r="E34" s="15">
        <v>0</v>
      </c>
      <c r="F34" s="53" t="s">
        <v>134</v>
      </c>
      <c r="G34" t="s">
        <v>157</v>
      </c>
      <c r="H34" s="41" t="s">
        <v>136</v>
      </c>
      <c r="I34" t="s">
        <v>158</v>
      </c>
      <c r="J34" t="s">
        <v>151</v>
      </c>
      <c r="K34" t="s">
        <v>139</v>
      </c>
      <c r="L34" s="17"/>
      <c r="M34" s="17"/>
      <c r="N34" s="17" t="s">
        <v>159</v>
      </c>
      <c r="O34" s="36"/>
      <c r="P34" s="17"/>
      <c r="Q34" s="17"/>
      <c r="U34" t="s">
        <v>160</v>
      </c>
      <c r="V34" t="s">
        <v>160</v>
      </c>
      <c r="X34" s="31">
        <v>43928</v>
      </c>
      <c r="Y34" s="31">
        <v>43928</v>
      </c>
      <c r="AA34" s="31"/>
      <c r="AB34" t="s">
        <v>9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1</v>
      </c>
      <c r="AI34">
        <v>56036</v>
      </c>
      <c r="AJ34">
        <v>2111</v>
      </c>
      <c r="AK34">
        <v>0</v>
      </c>
      <c r="AL34">
        <v>19</v>
      </c>
      <c r="AO34" s="41"/>
      <c r="AP34" s="41"/>
      <c r="AQ34" t="str">
        <f t="shared" si="0"/>
        <v/>
      </c>
      <c r="AS34" t="str">
        <f t="shared" si="1"/>
        <v>wci_corp</v>
      </c>
    </row>
    <row r="35" spans="2:45" x14ac:dyDescent="0.2">
      <c r="B35" t="s">
        <v>167</v>
      </c>
      <c r="C35" s="31">
        <v>43921</v>
      </c>
      <c r="D35" s="15">
        <v>80.33</v>
      </c>
      <c r="E35" s="15">
        <v>0</v>
      </c>
      <c r="F35" s="53" t="s">
        <v>134</v>
      </c>
      <c r="G35" t="s">
        <v>157</v>
      </c>
      <c r="H35" s="41" t="s">
        <v>136</v>
      </c>
      <c r="I35" t="s">
        <v>158</v>
      </c>
      <c r="J35" t="s">
        <v>151</v>
      </c>
      <c r="K35" t="s">
        <v>139</v>
      </c>
      <c r="L35" s="17"/>
      <c r="M35" s="17"/>
      <c r="N35" s="17" t="s">
        <v>159</v>
      </c>
      <c r="O35" s="36"/>
      <c r="P35" s="17"/>
      <c r="Q35" s="17"/>
      <c r="U35" t="s">
        <v>160</v>
      </c>
      <c r="V35" t="s">
        <v>160</v>
      </c>
      <c r="X35" s="31">
        <v>43928</v>
      </c>
      <c r="Y35" s="31">
        <v>43928</v>
      </c>
      <c r="AA35" s="31"/>
      <c r="AB35" t="s">
        <v>9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1</v>
      </c>
      <c r="AI35">
        <v>56050</v>
      </c>
      <c r="AJ35">
        <v>2111</v>
      </c>
      <c r="AK35">
        <v>0</v>
      </c>
      <c r="AL35">
        <v>19</v>
      </c>
      <c r="AO35" s="41"/>
      <c r="AP35" s="41"/>
      <c r="AQ35" t="str">
        <f t="shared" si="0"/>
        <v/>
      </c>
      <c r="AS35" t="str">
        <f t="shared" si="1"/>
        <v>wci_corp</v>
      </c>
    </row>
    <row r="36" spans="2:45" x14ac:dyDescent="0.2">
      <c r="B36" t="s">
        <v>168</v>
      </c>
      <c r="C36" s="31">
        <v>43921</v>
      </c>
      <c r="D36" s="15">
        <v>2985.58</v>
      </c>
      <c r="E36" s="15">
        <v>0</v>
      </c>
      <c r="F36" s="53" t="s">
        <v>134</v>
      </c>
      <c r="G36" t="s">
        <v>157</v>
      </c>
      <c r="H36" s="41" t="s">
        <v>136</v>
      </c>
      <c r="I36" t="s">
        <v>158</v>
      </c>
      <c r="J36" t="s">
        <v>151</v>
      </c>
      <c r="K36" t="s">
        <v>139</v>
      </c>
      <c r="L36" s="17"/>
      <c r="M36" s="17"/>
      <c r="N36" s="17" t="s">
        <v>159</v>
      </c>
      <c r="O36" s="36"/>
      <c r="P36" s="17"/>
      <c r="Q36" s="17"/>
      <c r="U36" t="s">
        <v>160</v>
      </c>
      <c r="V36" t="s">
        <v>160</v>
      </c>
      <c r="X36" s="31">
        <v>43928</v>
      </c>
      <c r="Y36" s="31">
        <v>43928</v>
      </c>
      <c r="AA36" s="31"/>
      <c r="AB36" t="s">
        <v>9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</v>
      </c>
      <c r="AI36">
        <v>70036</v>
      </c>
      <c r="AJ36">
        <v>2111</v>
      </c>
      <c r="AK36">
        <v>0</v>
      </c>
      <c r="AL36">
        <v>19</v>
      </c>
      <c r="AO36" s="41"/>
      <c r="AP36" s="41"/>
      <c r="AQ36" t="str">
        <f t="shared" si="0"/>
        <v/>
      </c>
      <c r="AS36" t="str">
        <f t="shared" si="1"/>
        <v>wci_corp</v>
      </c>
    </row>
    <row r="37" spans="2:45" x14ac:dyDescent="0.2">
      <c r="B37" t="s">
        <v>169</v>
      </c>
      <c r="C37" s="31">
        <v>43921</v>
      </c>
      <c r="D37" s="15">
        <v>228.4</v>
      </c>
      <c r="E37" s="15">
        <v>0</v>
      </c>
      <c r="F37" s="53" t="s">
        <v>134</v>
      </c>
      <c r="G37" t="s">
        <v>157</v>
      </c>
      <c r="H37" s="41" t="s">
        <v>136</v>
      </c>
      <c r="I37" t="s">
        <v>158</v>
      </c>
      <c r="J37" t="s">
        <v>151</v>
      </c>
      <c r="K37" t="s">
        <v>139</v>
      </c>
      <c r="L37" s="17"/>
      <c r="M37" s="17"/>
      <c r="N37" s="17" t="s">
        <v>159</v>
      </c>
      <c r="O37" s="36"/>
      <c r="P37" s="17"/>
      <c r="Q37" s="17"/>
      <c r="U37" t="s">
        <v>160</v>
      </c>
      <c r="V37" t="s">
        <v>160</v>
      </c>
      <c r="X37" s="31">
        <v>43928</v>
      </c>
      <c r="Y37" s="31">
        <v>43928</v>
      </c>
      <c r="AA37" s="31"/>
      <c r="AB37" t="s">
        <v>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1</v>
      </c>
      <c r="AI37">
        <v>70050</v>
      </c>
      <c r="AJ37">
        <v>2111</v>
      </c>
      <c r="AK37">
        <v>0</v>
      </c>
      <c r="AL37">
        <v>19</v>
      </c>
      <c r="AO37" s="41"/>
      <c r="AP37" s="41"/>
      <c r="AQ37" t="str">
        <f t="shared" si="0"/>
        <v/>
      </c>
      <c r="AS37" t="str">
        <f t="shared" si="1"/>
        <v>wci_corp</v>
      </c>
    </row>
    <row r="38" spans="2:45" x14ac:dyDescent="0.2">
      <c r="B38" t="s">
        <v>170</v>
      </c>
      <c r="C38" s="31">
        <v>43921</v>
      </c>
      <c r="D38" s="15">
        <v>411.8</v>
      </c>
      <c r="E38" s="15">
        <v>0</v>
      </c>
      <c r="F38" s="53" t="s">
        <v>134</v>
      </c>
      <c r="G38" t="s">
        <v>171</v>
      </c>
      <c r="H38" s="41" t="s">
        <v>136</v>
      </c>
      <c r="I38" t="s">
        <v>172</v>
      </c>
      <c r="J38" t="s">
        <v>173</v>
      </c>
      <c r="K38" t="s">
        <v>139</v>
      </c>
      <c r="L38" s="17"/>
      <c r="M38" s="17"/>
      <c r="N38" s="17" t="s">
        <v>174</v>
      </c>
      <c r="O38" s="36"/>
      <c r="P38" s="17"/>
      <c r="Q38" s="17"/>
      <c r="U38" t="s">
        <v>175</v>
      </c>
      <c r="V38" t="s">
        <v>175</v>
      </c>
      <c r="X38" s="31">
        <v>43928</v>
      </c>
      <c r="Y38" s="31">
        <v>43928</v>
      </c>
      <c r="AA38" s="31"/>
      <c r="AB38" t="s">
        <v>9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1</v>
      </c>
      <c r="AI38">
        <v>50086</v>
      </c>
      <c r="AJ38">
        <v>2111</v>
      </c>
      <c r="AK38">
        <v>0</v>
      </c>
      <c r="AL38">
        <v>19</v>
      </c>
      <c r="AO38" s="41"/>
      <c r="AP38" s="41"/>
      <c r="AQ38" t="str">
        <f t="shared" si="0"/>
        <v/>
      </c>
      <c r="AS38" t="str">
        <f t="shared" si="1"/>
        <v>wci_corp</v>
      </c>
    </row>
    <row r="39" spans="2:45" x14ac:dyDescent="0.2">
      <c r="B39" t="s">
        <v>148</v>
      </c>
      <c r="C39" s="31">
        <v>43921</v>
      </c>
      <c r="D39" s="15">
        <v>1166.8</v>
      </c>
      <c r="E39" s="15">
        <v>0</v>
      </c>
      <c r="F39" s="53" t="s">
        <v>134</v>
      </c>
      <c r="G39" t="s">
        <v>176</v>
      </c>
      <c r="H39" s="41" t="s">
        <v>136</v>
      </c>
      <c r="I39" t="s">
        <v>177</v>
      </c>
      <c r="J39" t="s">
        <v>173</v>
      </c>
      <c r="K39" t="s">
        <v>139</v>
      </c>
      <c r="L39" s="17"/>
      <c r="M39" s="17"/>
      <c r="N39" s="17" t="s">
        <v>178</v>
      </c>
      <c r="O39" s="36"/>
      <c r="P39" s="17"/>
      <c r="Q39" s="17"/>
      <c r="U39" t="s">
        <v>179</v>
      </c>
      <c r="V39" t="s">
        <v>179</v>
      </c>
      <c r="X39" s="31">
        <v>43928</v>
      </c>
      <c r="Y39" s="31">
        <v>43928</v>
      </c>
      <c r="AA39" s="31"/>
      <c r="AB39" t="s">
        <v>9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1</v>
      </c>
      <c r="AI39">
        <v>52125</v>
      </c>
      <c r="AJ39">
        <v>2111</v>
      </c>
      <c r="AK39">
        <v>0</v>
      </c>
      <c r="AL39">
        <v>19</v>
      </c>
      <c r="AO39" s="41"/>
      <c r="AP39" s="41"/>
      <c r="AQ39" t="str">
        <f t="shared" si="0"/>
        <v/>
      </c>
      <c r="AS39" t="str">
        <f t="shared" si="1"/>
        <v>wci_corp</v>
      </c>
    </row>
    <row r="40" spans="2:45" x14ac:dyDescent="0.2">
      <c r="B40" t="s">
        <v>148</v>
      </c>
      <c r="C40" s="31">
        <v>43921</v>
      </c>
      <c r="D40" s="15">
        <v>998.02</v>
      </c>
      <c r="E40" s="15">
        <v>0</v>
      </c>
      <c r="F40" s="53" t="s">
        <v>134</v>
      </c>
      <c r="G40" t="s">
        <v>176</v>
      </c>
      <c r="H40" s="41" t="s">
        <v>136</v>
      </c>
      <c r="I40" t="s">
        <v>177</v>
      </c>
      <c r="J40" t="s">
        <v>173</v>
      </c>
      <c r="K40" t="s">
        <v>139</v>
      </c>
      <c r="L40" s="17"/>
      <c r="M40" s="17"/>
      <c r="N40" s="17" t="s">
        <v>178</v>
      </c>
      <c r="O40" s="36"/>
      <c r="P40" s="17"/>
      <c r="Q40" s="17"/>
      <c r="U40" t="s">
        <v>179</v>
      </c>
      <c r="V40" t="s">
        <v>179</v>
      </c>
      <c r="X40" s="31">
        <v>43928</v>
      </c>
      <c r="Y40" s="31">
        <v>43928</v>
      </c>
      <c r="AA40" s="31"/>
      <c r="AB40" t="s">
        <v>9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1</v>
      </c>
      <c r="AI40">
        <v>52125</v>
      </c>
      <c r="AJ40">
        <v>2111</v>
      </c>
      <c r="AK40">
        <v>0</v>
      </c>
      <c r="AL40">
        <v>19</v>
      </c>
      <c r="AO40" s="41"/>
      <c r="AP40" s="41"/>
      <c r="AQ40" t="str">
        <f t="shared" si="0"/>
        <v/>
      </c>
      <c r="AS40" t="str">
        <f t="shared" si="1"/>
        <v>wci_corp</v>
      </c>
    </row>
    <row r="41" spans="2:45" x14ac:dyDescent="0.2">
      <c r="B41" t="s">
        <v>180</v>
      </c>
      <c r="C41" s="31">
        <v>43921</v>
      </c>
      <c r="D41" s="15">
        <v>560.08000000000004</v>
      </c>
      <c r="E41" s="15">
        <v>0</v>
      </c>
      <c r="F41" s="53" t="s">
        <v>134</v>
      </c>
      <c r="G41" t="s">
        <v>176</v>
      </c>
      <c r="H41" s="41" t="s">
        <v>136</v>
      </c>
      <c r="I41" t="s">
        <v>177</v>
      </c>
      <c r="J41" t="s">
        <v>173</v>
      </c>
      <c r="K41" t="s">
        <v>139</v>
      </c>
      <c r="L41" s="17"/>
      <c r="M41" s="17"/>
      <c r="N41" s="17" t="s">
        <v>181</v>
      </c>
      <c r="O41" s="36"/>
      <c r="P41" s="17"/>
      <c r="Q41" s="17"/>
      <c r="U41" t="s">
        <v>179</v>
      </c>
      <c r="V41" t="s">
        <v>179</v>
      </c>
      <c r="X41" s="31">
        <v>43928</v>
      </c>
      <c r="Y41" s="31">
        <v>43928</v>
      </c>
      <c r="AA41" s="31"/>
      <c r="AB41" t="s">
        <v>9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1</v>
      </c>
      <c r="AI41">
        <v>70210</v>
      </c>
      <c r="AJ41">
        <v>2111</v>
      </c>
      <c r="AK41">
        <v>0</v>
      </c>
      <c r="AL41">
        <v>19</v>
      </c>
      <c r="AO41" s="41"/>
      <c r="AP41" s="41"/>
      <c r="AQ41" t="str">
        <f t="shared" si="0"/>
        <v/>
      </c>
      <c r="AS41" t="str">
        <f t="shared" si="1"/>
        <v>wci_corp</v>
      </c>
    </row>
    <row r="42" spans="2:45" x14ac:dyDescent="0.2">
      <c r="B42" t="s">
        <v>133</v>
      </c>
      <c r="C42" s="31">
        <v>43951</v>
      </c>
      <c r="D42" s="15">
        <v>-424</v>
      </c>
      <c r="E42" s="15">
        <v>0</v>
      </c>
      <c r="F42" s="53" t="s">
        <v>134</v>
      </c>
      <c r="G42" t="s">
        <v>182</v>
      </c>
      <c r="H42" s="41" t="s">
        <v>136</v>
      </c>
      <c r="I42" t="s">
        <v>145</v>
      </c>
      <c r="J42" t="s">
        <v>138</v>
      </c>
      <c r="K42" t="s">
        <v>139</v>
      </c>
      <c r="L42" s="17"/>
      <c r="M42" s="17"/>
      <c r="N42" s="17" t="s">
        <v>146</v>
      </c>
      <c r="O42" s="36"/>
      <c r="P42" s="17"/>
      <c r="Q42" s="17"/>
      <c r="U42" t="s">
        <v>147</v>
      </c>
      <c r="V42" t="s">
        <v>183</v>
      </c>
      <c r="X42" s="31">
        <v>43922</v>
      </c>
      <c r="Y42" s="31">
        <v>43923</v>
      </c>
      <c r="AA42" s="31"/>
      <c r="AB42" t="s">
        <v>9</v>
      </c>
      <c r="AC42">
        <v>0</v>
      </c>
      <c r="AD42">
        <v>0</v>
      </c>
      <c r="AE42">
        <v>0</v>
      </c>
      <c r="AF42">
        <v>0</v>
      </c>
      <c r="AG42">
        <v>5</v>
      </c>
      <c r="AH42">
        <v>1</v>
      </c>
      <c r="AI42">
        <v>50065</v>
      </c>
      <c r="AJ42">
        <v>2111</v>
      </c>
      <c r="AK42">
        <v>0</v>
      </c>
      <c r="AL42">
        <v>19</v>
      </c>
      <c r="AO42" s="41"/>
      <c r="AP42" s="41"/>
      <c r="AQ42" t="str">
        <f t="shared" si="0"/>
        <v/>
      </c>
      <c r="AS42" t="str">
        <f t="shared" si="1"/>
        <v>wci_corp</v>
      </c>
    </row>
    <row r="43" spans="2:45" x14ac:dyDescent="0.2">
      <c r="B43" t="s">
        <v>156</v>
      </c>
      <c r="C43" s="31">
        <v>43951</v>
      </c>
      <c r="D43" s="15">
        <v>-18394.18</v>
      </c>
      <c r="E43" s="15">
        <v>0</v>
      </c>
      <c r="F43" s="53" t="s">
        <v>134</v>
      </c>
      <c r="G43" t="s">
        <v>184</v>
      </c>
      <c r="H43" s="41" t="s">
        <v>136</v>
      </c>
      <c r="I43" t="s">
        <v>158</v>
      </c>
      <c r="J43" t="s">
        <v>173</v>
      </c>
      <c r="K43" t="s">
        <v>139</v>
      </c>
      <c r="L43" s="17"/>
      <c r="M43" s="17"/>
      <c r="N43" s="17" t="s">
        <v>159</v>
      </c>
      <c r="O43" s="36"/>
      <c r="P43" s="17"/>
      <c r="Q43" s="17"/>
      <c r="U43" t="s">
        <v>160</v>
      </c>
      <c r="V43" t="s">
        <v>185</v>
      </c>
      <c r="X43" s="31">
        <v>43928</v>
      </c>
      <c r="Y43" s="31">
        <v>43928</v>
      </c>
      <c r="AA43" s="31"/>
      <c r="AB43" t="s">
        <v>9</v>
      </c>
      <c r="AC43">
        <v>0</v>
      </c>
      <c r="AD43">
        <v>0</v>
      </c>
      <c r="AE43">
        <v>0</v>
      </c>
      <c r="AF43">
        <v>0</v>
      </c>
      <c r="AG43">
        <v>5</v>
      </c>
      <c r="AH43">
        <v>1</v>
      </c>
      <c r="AI43">
        <v>50036</v>
      </c>
      <c r="AJ43">
        <v>2111</v>
      </c>
      <c r="AK43">
        <v>0</v>
      </c>
      <c r="AL43">
        <v>19</v>
      </c>
      <c r="AO43" s="41"/>
      <c r="AP43" s="41"/>
      <c r="AQ43" t="str">
        <f t="shared" si="0"/>
        <v/>
      </c>
      <c r="AS43" t="str">
        <f t="shared" si="1"/>
        <v>wci_corp</v>
      </c>
    </row>
    <row r="44" spans="2:45" x14ac:dyDescent="0.2">
      <c r="B44" t="s">
        <v>161</v>
      </c>
      <c r="C44" s="31">
        <v>43951</v>
      </c>
      <c r="D44" s="15">
        <v>-1407.16</v>
      </c>
      <c r="E44" s="15">
        <v>0</v>
      </c>
      <c r="F44" s="53" t="s">
        <v>134</v>
      </c>
      <c r="G44" t="s">
        <v>184</v>
      </c>
      <c r="H44" s="41" t="s">
        <v>136</v>
      </c>
      <c r="I44" t="s">
        <v>158</v>
      </c>
      <c r="J44" t="s">
        <v>173</v>
      </c>
      <c r="K44" t="s">
        <v>139</v>
      </c>
      <c r="L44" s="17"/>
      <c r="M44" s="17"/>
      <c r="N44" s="17" t="s">
        <v>159</v>
      </c>
      <c r="O44" s="36"/>
      <c r="P44" s="17"/>
      <c r="Q44" s="17"/>
      <c r="U44" t="s">
        <v>160</v>
      </c>
      <c r="V44" t="s">
        <v>185</v>
      </c>
      <c r="X44" s="31">
        <v>43928</v>
      </c>
      <c r="Y44" s="31">
        <v>43928</v>
      </c>
      <c r="AA44" s="31"/>
      <c r="AB44" t="s">
        <v>9</v>
      </c>
      <c r="AC44">
        <v>0</v>
      </c>
      <c r="AD44">
        <v>0</v>
      </c>
      <c r="AE44">
        <v>0</v>
      </c>
      <c r="AF44">
        <v>0</v>
      </c>
      <c r="AG44">
        <v>5</v>
      </c>
      <c r="AH44">
        <v>1</v>
      </c>
      <c r="AI44">
        <v>50050</v>
      </c>
      <c r="AJ44">
        <v>2111</v>
      </c>
      <c r="AK44">
        <v>0</v>
      </c>
      <c r="AL44">
        <v>19</v>
      </c>
      <c r="AO44" s="41"/>
      <c r="AP44" s="41"/>
      <c r="AQ44" t="str">
        <f t="shared" si="0"/>
        <v/>
      </c>
      <c r="AS44" t="str">
        <f t="shared" si="1"/>
        <v>wci_corp</v>
      </c>
    </row>
    <row r="45" spans="2:45" x14ac:dyDescent="0.2">
      <c r="B45" t="s">
        <v>162</v>
      </c>
      <c r="C45" s="31">
        <v>43951</v>
      </c>
      <c r="D45" s="15">
        <v>-2990.68</v>
      </c>
      <c r="E45" s="15">
        <v>0</v>
      </c>
      <c r="F45" s="53" t="s">
        <v>134</v>
      </c>
      <c r="G45" t="s">
        <v>184</v>
      </c>
      <c r="H45" s="41" t="s">
        <v>136</v>
      </c>
      <c r="I45" t="s">
        <v>158</v>
      </c>
      <c r="J45" t="s">
        <v>173</v>
      </c>
      <c r="K45" t="s">
        <v>139</v>
      </c>
      <c r="L45" s="17"/>
      <c r="M45" s="17"/>
      <c r="N45" s="17" t="s">
        <v>159</v>
      </c>
      <c r="O45" s="36"/>
      <c r="P45" s="17"/>
      <c r="Q45" s="17"/>
      <c r="U45" t="s">
        <v>160</v>
      </c>
      <c r="V45" t="s">
        <v>185</v>
      </c>
      <c r="X45" s="31">
        <v>43928</v>
      </c>
      <c r="Y45" s="31">
        <v>43928</v>
      </c>
      <c r="AA45" s="31"/>
      <c r="AB45" t="s">
        <v>9</v>
      </c>
      <c r="AC45">
        <v>0</v>
      </c>
      <c r="AD45">
        <v>0</v>
      </c>
      <c r="AE45">
        <v>0</v>
      </c>
      <c r="AF45">
        <v>0</v>
      </c>
      <c r="AG45">
        <v>5</v>
      </c>
      <c r="AH45">
        <v>1</v>
      </c>
      <c r="AI45">
        <v>52036</v>
      </c>
      <c r="AJ45">
        <v>2111</v>
      </c>
      <c r="AK45">
        <v>0</v>
      </c>
      <c r="AL45">
        <v>19</v>
      </c>
      <c r="AO45" s="41"/>
      <c r="AP45" s="41"/>
      <c r="AQ45" t="str">
        <f t="shared" si="0"/>
        <v/>
      </c>
      <c r="AS45" t="str">
        <f t="shared" si="1"/>
        <v>wci_corp</v>
      </c>
    </row>
    <row r="46" spans="2:45" x14ac:dyDescent="0.2">
      <c r="B46" t="s">
        <v>163</v>
      </c>
      <c r="C46" s="31">
        <v>43951</v>
      </c>
      <c r="D46" s="15">
        <v>-228.79</v>
      </c>
      <c r="E46" s="15">
        <v>0</v>
      </c>
      <c r="F46" s="53" t="s">
        <v>134</v>
      </c>
      <c r="G46" t="s">
        <v>184</v>
      </c>
      <c r="H46" s="41" t="s">
        <v>136</v>
      </c>
      <c r="I46" t="s">
        <v>158</v>
      </c>
      <c r="J46" t="s">
        <v>173</v>
      </c>
      <c r="K46" t="s">
        <v>139</v>
      </c>
      <c r="L46" s="17"/>
      <c r="M46" s="17"/>
      <c r="N46" s="17" t="s">
        <v>159</v>
      </c>
      <c r="O46" s="36"/>
      <c r="P46" s="17"/>
      <c r="Q46" s="17"/>
      <c r="U46" t="s">
        <v>160</v>
      </c>
      <c r="V46" t="s">
        <v>185</v>
      </c>
      <c r="X46" s="31">
        <v>43928</v>
      </c>
      <c r="Y46" s="31">
        <v>43928</v>
      </c>
      <c r="AA46" s="31"/>
      <c r="AB46" t="s">
        <v>9</v>
      </c>
      <c r="AC46">
        <v>0</v>
      </c>
      <c r="AD46">
        <v>0</v>
      </c>
      <c r="AE46">
        <v>0</v>
      </c>
      <c r="AF46">
        <v>0</v>
      </c>
      <c r="AG46">
        <v>5</v>
      </c>
      <c r="AH46">
        <v>1</v>
      </c>
      <c r="AI46">
        <v>52050</v>
      </c>
      <c r="AJ46">
        <v>2111</v>
      </c>
      <c r="AK46">
        <v>0</v>
      </c>
      <c r="AL46">
        <v>19</v>
      </c>
      <c r="AO46" s="41"/>
      <c r="AP46" s="41"/>
      <c r="AQ46" t="str">
        <f t="shared" si="0"/>
        <v/>
      </c>
      <c r="AS46" t="str">
        <f t="shared" si="1"/>
        <v>wci_corp</v>
      </c>
    </row>
    <row r="47" spans="2:45" x14ac:dyDescent="0.2">
      <c r="B47" t="s">
        <v>164</v>
      </c>
      <c r="C47" s="31">
        <v>43951</v>
      </c>
      <c r="D47" s="15">
        <v>-807.04</v>
      </c>
      <c r="E47" s="15">
        <v>0</v>
      </c>
      <c r="F47" s="53" t="s">
        <v>134</v>
      </c>
      <c r="G47" t="s">
        <v>184</v>
      </c>
      <c r="H47" s="41" t="s">
        <v>136</v>
      </c>
      <c r="I47" t="s">
        <v>158</v>
      </c>
      <c r="J47" t="s">
        <v>173</v>
      </c>
      <c r="K47" t="s">
        <v>139</v>
      </c>
      <c r="L47" s="17"/>
      <c r="M47" s="17"/>
      <c r="N47" s="17" t="s">
        <v>159</v>
      </c>
      <c r="O47" s="36"/>
      <c r="P47" s="17"/>
      <c r="Q47" s="17"/>
      <c r="U47" t="s">
        <v>160</v>
      </c>
      <c r="V47" t="s">
        <v>185</v>
      </c>
      <c r="X47" s="31">
        <v>43928</v>
      </c>
      <c r="Y47" s="31">
        <v>43928</v>
      </c>
      <c r="AA47" s="31"/>
      <c r="AB47" t="s">
        <v>9</v>
      </c>
      <c r="AC47">
        <v>0</v>
      </c>
      <c r="AD47">
        <v>0</v>
      </c>
      <c r="AE47">
        <v>0</v>
      </c>
      <c r="AF47">
        <v>0</v>
      </c>
      <c r="AG47">
        <v>5</v>
      </c>
      <c r="AH47">
        <v>1</v>
      </c>
      <c r="AI47">
        <v>55036</v>
      </c>
      <c r="AJ47">
        <v>2111</v>
      </c>
      <c r="AK47">
        <v>0</v>
      </c>
      <c r="AL47">
        <v>19</v>
      </c>
      <c r="AO47" s="41"/>
      <c r="AP47" s="41"/>
      <c r="AQ47" t="str">
        <f t="shared" si="0"/>
        <v/>
      </c>
      <c r="AS47" t="str">
        <f t="shared" si="1"/>
        <v>wci_corp</v>
      </c>
    </row>
    <row r="48" spans="2:45" x14ac:dyDescent="0.2">
      <c r="B48" t="s">
        <v>165</v>
      </c>
      <c r="C48" s="31">
        <v>43951</v>
      </c>
      <c r="D48" s="15">
        <v>-61.74</v>
      </c>
      <c r="E48" s="15">
        <v>0</v>
      </c>
      <c r="F48" s="53" t="s">
        <v>134</v>
      </c>
      <c r="G48" t="s">
        <v>184</v>
      </c>
      <c r="H48" s="41" t="s">
        <v>136</v>
      </c>
      <c r="I48" t="s">
        <v>158</v>
      </c>
      <c r="J48" t="s">
        <v>173</v>
      </c>
      <c r="K48" t="s">
        <v>139</v>
      </c>
      <c r="L48" s="17"/>
      <c r="M48" s="17"/>
      <c r="N48" s="17" t="s">
        <v>159</v>
      </c>
      <c r="O48" s="36"/>
      <c r="P48" s="17"/>
      <c r="Q48" s="17"/>
      <c r="U48" t="s">
        <v>160</v>
      </c>
      <c r="V48" t="s">
        <v>185</v>
      </c>
      <c r="X48" s="31">
        <v>43928</v>
      </c>
      <c r="Y48" s="31">
        <v>43928</v>
      </c>
      <c r="AA48" s="31"/>
      <c r="AB48" t="s">
        <v>9</v>
      </c>
      <c r="AC48">
        <v>0</v>
      </c>
      <c r="AD48">
        <v>0</v>
      </c>
      <c r="AE48">
        <v>0</v>
      </c>
      <c r="AF48">
        <v>0</v>
      </c>
      <c r="AG48">
        <v>5</v>
      </c>
      <c r="AH48">
        <v>1</v>
      </c>
      <c r="AI48">
        <v>55050</v>
      </c>
      <c r="AJ48">
        <v>2111</v>
      </c>
      <c r="AK48">
        <v>0</v>
      </c>
      <c r="AL48">
        <v>19</v>
      </c>
      <c r="AO48" s="41"/>
      <c r="AP48" s="41"/>
      <c r="AQ48" t="str">
        <f t="shared" si="0"/>
        <v/>
      </c>
      <c r="AS48" t="str">
        <f t="shared" si="1"/>
        <v>wci_corp</v>
      </c>
    </row>
    <row r="49" spans="2:45" x14ac:dyDescent="0.2">
      <c r="B49" t="s">
        <v>166</v>
      </c>
      <c r="C49" s="31">
        <v>43951</v>
      </c>
      <c r="D49" s="15">
        <v>-1050</v>
      </c>
      <c r="E49" s="15">
        <v>0</v>
      </c>
      <c r="F49" s="53" t="s">
        <v>134</v>
      </c>
      <c r="G49" t="s">
        <v>184</v>
      </c>
      <c r="H49" s="41" t="s">
        <v>136</v>
      </c>
      <c r="I49" t="s">
        <v>158</v>
      </c>
      <c r="J49" t="s">
        <v>173</v>
      </c>
      <c r="K49" t="s">
        <v>139</v>
      </c>
      <c r="L49" s="17"/>
      <c r="M49" s="17"/>
      <c r="N49" s="17" t="s">
        <v>159</v>
      </c>
      <c r="O49" s="36"/>
      <c r="P49" s="17"/>
      <c r="Q49" s="17"/>
      <c r="U49" t="s">
        <v>160</v>
      </c>
      <c r="V49" t="s">
        <v>185</v>
      </c>
      <c r="X49" s="31">
        <v>43928</v>
      </c>
      <c r="Y49" s="31">
        <v>43928</v>
      </c>
      <c r="AA49" s="31"/>
      <c r="AB49" t="s">
        <v>9</v>
      </c>
      <c r="AC49">
        <v>0</v>
      </c>
      <c r="AD49">
        <v>0</v>
      </c>
      <c r="AE49">
        <v>0</v>
      </c>
      <c r="AF49">
        <v>0</v>
      </c>
      <c r="AG49">
        <v>5</v>
      </c>
      <c r="AH49">
        <v>1</v>
      </c>
      <c r="AI49">
        <v>56036</v>
      </c>
      <c r="AJ49">
        <v>2111</v>
      </c>
      <c r="AK49">
        <v>0</v>
      </c>
      <c r="AL49">
        <v>19</v>
      </c>
      <c r="AO49" s="41"/>
      <c r="AP49" s="41"/>
      <c r="AQ49" t="str">
        <f t="shared" si="0"/>
        <v/>
      </c>
      <c r="AS49" t="str">
        <f t="shared" si="1"/>
        <v>wci_corp</v>
      </c>
    </row>
    <row r="50" spans="2:45" x14ac:dyDescent="0.2">
      <c r="B50" t="s">
        <v>167</v>
      </c>
      <c r="C50" s="31">
        <v>43951</v>
      </c>
      <c r="D50" s="15">
        <v>-80.33</v>
      </c>
      <c r="E50" s="15">
        <v>0</v>
      </c>
      <c r="F50" s="53" t="s">
        <v>134</v>
      </c>
      <c r="G50" t="s">
        <v>184</v>
      </c>
      <c r="H50" s="41" t="s">
        <v>136</v>
      </c>
      <c r="I50" t="s">
        <v>158</v>
      </c>
      <c r="J50" t="s">
        <v>173</v>
      </c>
      <c r="K50" t="s">
        <v>139</v>
      </c>
      <c r="L50" s="17"/>
      <c r="M50" s="17"/>
      <c r="N50" s="17" t="s">
        <v>159</v>
      </c>
      <c r="O50" s="36"/>
      <c r="P50" s="17"/>
      <c r="Q50" s="17"/>
      <c r="U50" t="s">
        <v>160</v>
      </c>
      <c r="V50" t="s">
        <v>185</v>
      </c>
      <c r="X50" s="31">
        <v>43928</v>
      </c>
      <c r="Y50" s="31">
        <v>43928</v>
      </c>
      <c r="AA50" s="31"/>
      <c r="AB50" t="s">
        <v>9</v>
      </c>
      <c r="AC50">
        <v>0</v>
      </c>
      <c r="AD50">
        <v>0</v>
      </c>
      <c r="AE50">
        <v>0</v>
      </c>
      <c r="AF50">
        <v>0</v>
      </c>
      <c r="AG50">
        <v>5</v>
      </c>
      <c r="AH50">
        <v>1</v>
      </c>
      <c r="AI50">
        <v>56050</v>
      </c>
      <c r="AJ50">
        <v>2111</v>
      </c>
      <c r="AK50">
        <v>0</v>
      </c>
      <c r="AL50">
        <v>19</v>
      </c>
      <c r="AO50" s="41"/>
      <c r="AP50" s="41"/>
      <c r="AQ50" t="str">
        <f t="shared" si="0"/>
        <v/>
      </c>
      <c r="AS50" t="str">
        <f t="shared" si="1"/>
        <v>wci_corp</v>
      </c>
    </row>
    <row r="51" spans="2:45" x14ac:dyDescent="0.2">
      <c r="B51" t="s">
        <v>168</v>
      </c>
      <c r="C51" s="31">
        <v>43951</v>
      </c>
      <c r="D51" s="15">
        <v>-2985.58</v>
      </c>
      <c r="E51" s="15">
        <v>0</v>
      </c>
      <c r="F51" s="53" t="s">
        <v>134</v>
      </c>
      <c r="G51" t="s">
        <v>184</v>
      </c>
      <c r="H51" s="41" t="s">
        <v>136</v>
      </c>
      <c r="I51" t="s">
        <v>158</v>
      </c>
      <c r="J51" t="s">
        <v>173</v>
      </c>
      <c r="K51" t="s">
        <v>139</v>
      </c>
      <c r="L51" s="17"/>
      <c r="M51" s="17"/>
      <c r="N51" s="17" t="s">
        <v>159</v>
      </c>
      <c r="O51" s="36"/>
      <c r="P51" s="17"/>
      <c r="Q51" s="17"/>
      <c r="U51" t="s">
        <v>160</v>
      </c>
      <c r="V51" t="s">
        <v>185</v>
      </c>
      <c r="X51" s="31">
        <v>43928</v>
      </c>
      <c r="Y51" s="31">
        <v>43928</v>
      </c>
      <c r="AA51" s="31"/>
      <c r="AB51" t="s">
        <v>9</v>
      </c>
      <c r="AC51">
        <v>0</v>
      </c>
      <c r="AD51">
        <v>0</v>
      </c>
      <c r="AE51">
        <v>0</v>
      </c>
      <c r="AF51">
        <v>0</v>
      </c>
      <c r="AG51">
        <v>5</v>
      </c>
      <c r="AH51">
        <v>1</v>
      </c>
      <c r="AI51">
        <v>70036</v>
      </c>
      <c r="AJ51">
        <v>2111</v>
      </c>
      <c r="AK51">
        <v>0</v>
      </c>
      <c r="AL51">
        <v>19</v>
      </c>
      <c r="AO51" s="41"/>
      <c r="AP51" s="41"/>
      <c r="AQ51" t="str">
        <f t="shared" si="0"/>
        <v/>
      </c>
      <c r="AS51" t="str">
        <f t="shared" si="1"/>
        <v>wci_corp</v>
      </c>
    </row>
    <row r="52" spans="2:45" x14ac:dyDescent="0.2">
      <c r="B52" t="s">
        <v>169</v>
      </c>
      <c r="C52" s="31">
        <v>43951</v>
      </c>
      <c r="D52" s="15">
        <v>-228.4</v>
      </c>
      <c r="E52" s="15">
        <v>0</v>
      </c>
      <c r="F52" s="53" t="s">
        <v>134</v>
      </c>
      <c r="G52" t="s">
        <v>184</v>
      </c>
      <c r="H52" s="41" t="s">
        <v>136</v>
      </c>
      <c r="I52" t="s">
        <v>158</v>
      </c>
      <c r="J52" t="s">
        <v>173</v>
      </c>
      <c r="K52" t="s">
        <v>139</v>
      </c>
      <c r="L52" s="17"/>
      <c r="M52" s="17"/>
      <c r="N52" s="17" t="s">
        <v>159</v>
      </c>
      <c r="O52" s="36"/>
      <c r="P52" s="17"/>
      <c r="Q52" s="17"/>
      <c r="U52" t="s">
        <v>160</v>
      </c>
      <c r="V52" t="s">
        <v>185</v>
      </c>
      <c r="X52" s="31">
        <v>43928</v>
      </c>
      <c r="Y52" s="31">
        <v>43928</v>
      </c>
      <c r="AA52" s="31"/>
      <c r="AB52" t="s">
        <v>9</v>
      </c>
      <c r="AC52">
        <v>0</v>
      </c>
      <c r="AD52">
        <v>0</v>
      </c>
      <c r="AE52">
        <v>0</v>
      </c>
      <c r="AF52">
        <v>0</v>
      </c>
      <c r="AG52">
        <v>5</v>
      </c>
      <c r="AH52">
        <v>1</v>
      </c>
      <c r="AI52">
        <v>70050</v>
      </c>
      <c r="AJ52">
        <v>2111</v>
      </c>
      <c r="AK52">
        <v>0</v>
      </c>
      <c r="AL52">
        <v>19</v>
      </c>
      <c r="AO52" s="41"/>
      <c r="AP52" s="41"/>
      <c r="AQ52" t="str">
        <f t="shared" si="0"/>
        <v/>
      </c>
      <c r="AS52" t="str">
        <f t="shared" si="1"/>
        <v>wci_corp</v>
      </c>
    </row>
    <row r="53" spans="2:45" x14ac:dyDescent="0.2">
      <c r="B53" t="s">
        <v>170</v>
      </c>
      <c r="C53" s="31">
        <v>43951</v>
      </c>
      <c r="D53" s="15">
        <v>-411.8</v>
      </c>
      <c r="E53" s="15">
        <v>0</v>
      </c>
      <c r="F53" s="53" t="s">
        <v>134</v>
      </c>
      <c r="G53" t="s">
        <v>186</v>
      </c>
      <c r="H53" s="41" t="s">
        <v>136</v>
      </c>
      <c r="I53" t="s">
        <v>172</v>
      </c>
      <c r="J53" t="s">
        <v>173</v>
      </c>
      <c r="K53" t="s">
        <v>139</v>
      </c>
      <c r="L53" s="17"/>
      <c r="M53" s="17"/>
      <c r="N53" s="17" t="s">
        <v>174</v>
      </c>
      <c r="O53" s="36"/>
      <c r="P53" s="17"/>
      <c r="Q53" s="17"/>
      <c r="U53" t="s">
        <v>175</v>
      </c>
      <c r="V53" t="s">
        <v>187</v>
      </c>
      <c r="X53" s="31">
        <v>43928</v>
      </c>
      <c r="Y53" s="31">
        <v>43928</v>
      </c>
      <c r="AA53" s="31"/>
      <c r="AB53" t="s">
        <v>9</v>
      </c>
      <c r="AC53">
        <v>0</v>
      </c>
      <c r="AD53">
        <v>0</v>
      </c>
      <c r="AE53">
        <v>0</v>
      </c>
      <c r="AF53">
        <v>0</v>
      </c>
      <c r="AG53">
        <v>5</v>
      </c>
      <c r="AH53">
        <v>1</v>
      </c>
      <c r="AI53">
        <v>50086</v>
      </c>
      <c r="AJ53">
        <v>2111</v>
      </c>
      <c r="AK53">
        <v>0</v>
      </c>
      <c r="AL53">
        <v>19</v>
      </c>
      <c r="AO53" s="41"/>
      <c r="AP53" s="41"/>
      <c r="AQ53" t="str">
        <f t="shared" si="0"/>
        <v/>
      </c>
      <c r="AS53" t="str">
        <f t="shared" si="1"/>
        <v>wci_corp</v>
      </c>
    </row>
    <row r="54" spans="2:45" x14ac:dyDescent="0.2">
      <c r="B54" t="s">
        <v>156</v>
      </c>
      <c r="C54" s="31">
        <v>43951</v>
      </c>
      <c r="D54" s="15">
        <v>2230.96</v>
      </c>
      <c r="E54" s="15">
        <v>0</v>
      </c>
      <c r="F54" s="53" t="s">
        <v>134</v>
      </c>
      <c r="G54" t="s">
        <v>188</v>
      </c>
      <c r="H54" s="41" t="s">
        <v>136</v>
      </c>
      <c r="I54" t="s">
        <v>189</v>
      </c>
      <c r="J54" t="s">
        <v>190</v>
      </c>
      <c r="K54" t="s">
        <v>139</v>
      </c>
      <c r="L54" s="17"/>
      <c r="M54" s="17"/>
      <c r="N54" s="17" t="s">
        <v>191</v>
      </c>
      <c r="O54" s="36"/>
      <c r="P54" s="17"/>
      <c r="Q54" s="17"/>
      <c r="U54" t="s">
        <v>192</v>
      </c>
      <c r="V54" t="s">
        <v>192</v>
      </c>
      <c r="X54" s="31">
        <v>43937</v>
      </c>
      <c r="Y54" s="31">
        <v>43937</v>
      </c>
      <c r="AA54" s="31"/>
      <c r="AB54" t="s">
        <v>9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</v>
      </c>
      <c r="AI54">
        <v>50036</v>
      </c>
      <c r="AJ54">
        <v>2111</v>
      </c>
      <c r="AK54">
        <v>0</v>
      </c>
      <c r="AL54">
        <v>19</v>
      </c>
      <c r="AO54" s="41"/>
      <c r="AP54" s="41"/>
      <c r="AQ54" t="str">
        <f t="shared" si="0"/>
        <v/>
      </c>
      <c r="AS54" t="str">
        <f t="shared" si="1"/>
        <v>wci_corp</v>
      </c>
    </row>
    <row r="55" spans="2:45" x14ac:dyDescent="0.2">
      <c r="B55" t="s">
        <v>193</v>
      </c>
      <c r="C55" s="31">
        <v>43951</v>
      </c>
      <c r="D55" s="15">
        <v>10461.959999999999</v>
      </c>
      <c r="E55" s="15">
        <v>0</v>
      </c>
      <c r="F55" s="53" t="s">
        <v>134</v>
      </c>
      <c r="G55" t="s">
        <v>188</v>
      </c>
      <c r="H55" s="41" t="s">
        <v>136</v>
      </c>
      <c r="I55" t="s">
        <v>189</v>
      </c>
      <c r="J55" t="s">
        <v>190</v>
      </c>
      <c r="K55" t="s">
        <v>139</v>
      </c>
      <c r="L55" s="17"/>
      <c r="M55" s="17"/>
      <c r="N55" s="17" t="s">
        <v>191</v>
      </c>
      <c r="O55" s="36"/>
      <c r="P55" s="17"/>
      <c r="Q55" s="17"/>
      <c r="U55" t="s">
        <v>192</v>
      </c>
      <c r="V55" t="s">
        <v>192</v>
      </c>
      <c r="X55" s="31">
        <v>43937</v>
      </c>
      <c r="Y55" s="31">
        <v>43937</v>
      </c>
      <c r="AA55" s="31"/>
      <c r="AB55" t="s">
        <v>9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1</v>
      </c>
      <c r="AI55">
        <v>50036</v>
      </c>
      <c r="AJ55">
        <v>2111</v>
      </c>
      <c r="AK55">
        <v>100</v>
      </c>
      <c r="AL55">
        <v>19</v>
      </c>
      <c r="AO55" s="41"/>
      <c r="AP55" s="41"/>
      <c r="AQ55" t="str">
        <f t="shared" si="0"/>
        <v/>
      </c>
      <c r="AS55" t="str">
        <f t="shared" si="1"/>
        <v>wci_corp</v>
      </c>
    </row>
    <row r="56" spans="2:45" x14ac:dyDescent="0.2">
      <c r="B56" t="s">
        <v>194</v>
      </c>
      <c r="C56" s="31">
        <v>43951</v>
      </c>
      <c r="D56" s="15">
        <v>6667.28</v>
      </c>
      <c r="E56" s="15">
        <v>0</v>
      </c>
      <c r="F56" s="53" t="s">
        <v>134</v>
      </c>
      <c r="G56" t="s">
        <v>188</v>
      </c>
      <c r="H56" s="41" t="s">
        <v>136</v>
      </c>
      <c r="I56" t="s">
        <v>189</v>
      </c>
      <c r="J56" t="s">
        <v>190</v>
      </c>
      <c r="K56" t="s">
        <v>139</v>
      </c>
      <c r="L56" s="17"/>
      <c r="M56" s="17"/>
      <c r="N56" s="17" t="s">
        <v>191</v>
      </c>
      <c r="O56" s="36"/>
      <c r="P56" s="17"/>
      <c r="Q56" s="17"/>
      <c r="U56" t="s">
        <v>192</v>
      </c>
      <c r="V56" t="s">
        <v>192</v>
      </c>
      <c r="X56" s="31">
        <v>43937</v>
      </c>
      <c r="Y56" s="31">
        <v>43937</v>
      </c>
      <c r="AA56" s="31"/>
      <c r="AB56" t="s">
        <v>9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50036</v>
      </c>
      <c r="AJ56">
        <v>2111</v>
      </c>
      <c r="AK56">
        <v>200</v>
      </c>
      <c r="AL56">
        <v>19</v>
      </c>
      <c r="AO56" s="41"/>
      <c r="AP56" s="41"/>
      <c r="AQ56" t="str">
        <f t="shared" si="0"/>
        <v/>
      </c>
      <c r="AS56" t="str">
        <f t="shared" si="1"/>
        <v>wci_corp</v>
      </c>
    </row>
    <row r="57" spans="2:45" x14ac:dyDescent="0.2">
      <c r="B57" t="s">
        <v>195</v>
      </c>
      <c r="C57" s="31">
        <v>43951</v>
      </c>
      <c r="D57" s="15">
        <v>265.74</v>
      </c>
      <c r="E57" s="15">
        <v>0</v>
      </c>
      <c r="F57" s="53" t="s">
        <v>134</v>
      </c>
      <c r="G57" t="s">
        <v>188</v>
      </c>
      <c r="H57" s="41" t="s">
        <v>136</v>
      </c>
      <c r="I57" t="s">
        <v>189</v>
      </c>
      <c r="J57" t="s">
        <v>190</v>
      </c>
      <c r="K57" t="s">
        <v>139</v>
      </c>
      <c r="L57" s="17"/>
      <c r="M57" s="17"/>
      <c r="N57" s="17" t="s">
        <v>191</v>
      </c>
      <c r="O57" s="36"/>
      <c r="P57" s="17"/>
      <c r="Q57" s="17"/>
      <c r="U57" t="s">
        <v>192</v>
      </c>
      <c r="V57" t="s">
        <v>192</v>
      </c>
      <c r="X57" s="31">
        <v>43937</v>
      </c>
      <c r="Y57" s="31">
        <v>43937</v>
      </c>
      <c r="AA57" s="31"/>
      <c r="AB57" t="s">
        <v>9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1</v>
      </c>
      <c r="AI57">
        <v>50036</v>
      </c>
      <c r="AJ57">
        <v>2111</v>
      </c>
      <c r="AK57">
        <v>201</v>
      </c>
      <c r="AL57">
        <v>19</v>
      </c>
      <c r="AO57" s="41"/>
      <c r="AP57" s="41"/>
      <c r="AQ57" t="str">
        <f t="shared" si="0"/>
        <v/>
      </c>
      <c r="AS57" t="str">
        <f t="shared" si="1"/>
        <v>wci_corp</v>
      </c>
    </row>
    <row r="58" spans="2:45" x14ac:dyDescent="0.2">
      <c r="B58" t="s">
        <v>196</v>
      </c>
      <c r="C58" s="31">
        <v>43951</v>
      </c>
      <c r="D58" s="15">
        <v>2055.7399999999998</v>
      </c>
      <c r="E58" s="15">
        <v>0</v>
      </c>
      <c r="F58" s="53" t="s">
        <v>134</v>
      </c>
      <c r="G58" t="s">
        <v>188</v>
      </c>
      <c r="H58" s="41" t="s">
        <v>136</v>
      </c>
      <c r="I58" t="s">
        <v>189</v>
      </c>
      <c r="J58" t="s">
        <v>190</v>
      </c>
      <c r="K58" t="s">
        <v>139</v>
      </c>
      <c r="L58" s="17"/>
      <c r="M58" s="17"/>
      <c r="N58" s="17" t="s">
        <v>191</v>
      </c>
      <c r="O58" s="36"/>
      <c r="P58" s="17"/>
      <c r="Q58" s="17"/>
      <c r="U58" t="s">
        <v>192</v>
      </c>
      <c r="V58" t="s">
        <v>192</v>
      </c>
      <c r="X58" s="31">
        <v>43937</v>
      </c>
      <c r="Y58" s="31">
        <v>43937</v>
      </c>
      <c r="AA58" s="31"/>
      <c r="AB58" t="s">
        <v>9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1</v>
      </c>
      <c r="AI58">
        <v>50036</v>
      </c>
      <c r="AJ58">
        <v>2111</v>
      </c>
      <c r="AK58">
        <v>210</v>
      </c>
      <c r="AL58">
        <v>19</v>
      </c>
      <c r="AO58" s="41"/>
      <c r="AP58" s="41"/>
      <c r="AQ58" t="str">
        <f t="shared" si="0"/>
        <v/>
      </c>
      <c r="AS58" t="str">
        <f t="shared" si="1"/>
        <v>wci_corp</v>
      </c>
    </row>
    <row r="59" spans="2:45" x14ac:dyDescent="0.2">
      <c r="B59" t="s">
        <v>197</v>
      </c>
      <c r="C59" s="31">
        <v>43951</v>
      </c>
      <c r="D59" s="15">
        <v>2779.74</v>
      </c>
      <c r="E59" s="15">
        <v>0</v>
      </c>
      <c r="F59" s="53" t="s">
        <v>134</v>
      </c>
      <c r="G59" t="s">
        <v>188</v>
      </c>
      <c r="H59" s="41" t="s">
        <v>136</v>
      </c>
      <c r="I59" t="s">
        <v>189</v>
      </c>
      <c r="J59" t="s">
        <v>190</v>
      </c>
      <c r="K59" t="s">
        <v>139</v>
      </c>
      <c r="L59" s="17"/>
      <c r="M59" s="17"/>
      <c r="N59" s="17" t="s">
        <v>191</v>
      </c>
      <c r="O59" s="36"/>
      <c r="P59" s="17"/>
      <c r="Q59" s="17"/>
      <c r="U59" t="s">
        <v>192</v>
      </c>
      <c r="V59" t="s">
        <v>192</v>
      </c>
      <c r="X59" s="31">
        <v>43937</v>
      </c>
      <c r="Y59" s="31">
        <v>43937</v>
      </c>
      <c r="AA59" s="31"/>
      <c r="AB59" t="s">
        <v>9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1</v>
      </c>
      <c r="AI59">
        <v>50036</v>
      </c>
      <c r="AJ59">
        <v>2111</v>
      </c>
      <c r="AK59">
        <v>300</v>
      </c>
      <c r="AL59">
        <v>19</v>
      </c>
      <c r="AO59" s="41"/>
      <c r="AP59" s="41"/>
      <c r="AQ59" t="str">
        <f t="shared" si="0"/>
        <v/>
      </c>
      <c r="AS59" t="str">
        <f t="shared" si="1"/>
        <v>wci_corp</v>
      </c>
    </row>
    <row r="60" spans="2:45" x14ac:dyDescent="0.2">
      <c r="B60" t="s">
        <v>198</v>
      </c>
      <c r="C60" s="31">
        <v>43951</v>
      </c>
      <c r="D60" s="15">
        <v>1309.04</v>
      </c>
      <c r="E60" s="15">
        <v>0</v>
      </c>
      <c r="F60" s="53" t="s">
        <v>134</v>
      </c>
      <c r="G60" t="s">
        <v>188</v>
      </c>
      <c r="H60" s="41" t="s">
        <v>136</v>
      </c>
      <c r="I60" t="s">
        <v>189</v>
      </c>
      <c r="J60" t="s">
        <v>190</v>
      </c>
      <c r="K60" t="s">
        <v>139</v>
      </c>
      <c r="L60" s="17"/>
      <c r="M60" s="17"/>
      <c r="N60" s="17" t="s">
        <v>191</v>
      </c>
      <c r="O60" s="36"/>
      <c r="P60" s="17"/>
      <c r="Q60" s="17"/>
      <c r="U60" t="s">
        <v>192</v>
      </c>
      <c r="V60" t="s">
        <v>192</v>
      </c>
      <c r="X60" s="31">
        <v>43937</v>
      </c>
      <c r="Y60" s="31">
        <v>43937</v>
      </c>
      <c r="AA60" s="31"/>
      <c r="AB60" t="s">
        <v>9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1</v>
      </c>
      <c r="AI60">
        <v>50036</v>
      </c>
      <c r="AJ60">
        <v>2111</v>
      </c>
      <c r="AK60">
        <v>500</v>
      </c>
      <c r="AL60">
        <v>19</v>
      </c>
      <c r="AO60" s="41"/>
      <c r="AP60" s="41"/>
      <c r="AQ60" t="str">
        <f t="shared" si="0"/>
        <v/>
      </c>
      <c r="AS60" t="str">
        <f t="shared" si="1"/>
        <v>wci_corp</v>
      </c>
    </row>
    <row r="61" spans="2:45" x14ac:dyDescent="0.2">
      <c r="B61" t="s">
        <v>133</v>
      </c>
      <c r="C61" s="31">
        <v>43951</v>
      </c>
      <c r="D61" s="15">
        <v>424</v>
      </c>
      <c r="E61" s="15">
        <v>0</v>
      </c>
      <c r="F61" s="53" t="s">
        <v>134</v>
      </c>
      <c r="G61" t="s">
        <v>188</v>
      </c>
      <c r="H61" s="41" t="s">
        <v>136</v>
      </c>
      <c r="I61" t="s">
        <v>189</v>
      </c>
      <c r="J61" t="s">
        <v>190</v>
      </c>
      <c r="K61" t="s">
        <v>139</v>
      </c>
      <c r="L61" s="17"/>
      <c r="M61" s="17"/>
      <c r="N61" s="17" t="s">
        <v>199</v>
      </c>
      <c r="O61" s="36"/>
      <c r="P61" s="17"/>
      <c r="Q61" s="17"/>
      <c r="U61" t="s">
        <v>192</v>
      </c>
      <c r="V61" t="s">
        <v>192</v>
      </c>
      <c r="X61" s="31">
        <v>43937</v>
      </c>
      <c r="Y61" s="31">
        <v>43937</v>
      </c>
      <c r="AA61" s="31"/>
      <c r="AB61" t="s">
        <v>9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1</v>
      </c>
      <c r="AI61">
        <v>50065</v>
      </c>
      <c r="AJ61">
        <v>2111</v>
      </c>
      <c r="AK61">
        <v>0</v>
      </c>
      <c r="AL61">
        <v>19</v>
      </c>
      <c r="AO61" s="41"/>
      <c r="AP61" s="41"/>
      <c r="AQ61" t="str">
        <f t="shared" si="0"/>
        <v/>
      </c>
      <c r="AS61" t="str">
        <f t="shared" si="1"/>
        <v>wci_corp</v>
      </c>
    </row>
    <row r="62" spans="2:45" x14ac:dyDescent="0.2">
      <c r="B62" t="s">
        <v>133</v>
      </c>
      <c r="C62" s="31">
        <v>43951</v>
      </c>
      <c r="D62" s="15">
        <v>1508.08</v>
      </c>
      <c r="E62" s="15">
        <v>0</v>
      </c>
      <c r="F62" s="53" t="s">
        <v>134</v>
      </c>
      <c r="G62" t="s">
        <v>188</v>
      </c>
      <c r="H62" s="41" t="s">
        <v>136</v>
      </c>
      <c r="I62" t="s">
        <v>189</v>
      </c>
      <c r="J62" t="s">
        <v>190</v>
      </c>
      <c r="K62" t="s">
        <v>139</v>
      </c>
      <c r="L62" s="17"/>
      <c r="M62" s="17"/>
      <c r="N62" s="17" t="s">
        <v>199</v>
      </c>
      <c r="O62" s="36"/>
      <c r="P62" s="17"/>
      <c r="Q62" s="17"/>
      <c r="U62" t="s">
        <v>192</v>
      </c>
      <c r="V62" t="s">
        <v>192</v>
      </c>
      <c r="X62" s="31">
        <v>43937</v>
      </c>
      <c r="Y62" s="31">
        <v>43937</v>
      </c>
      <c r="AA62" s="31"/>
      <c r="AB62" t="s">
        <v>9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  <c r="AI62">
        <v>50065</v>
      </c>
      <c r="AJ62">
        <v>2111</v>
      </c>
      <c r="AK62">
        <v>0</v>
      </c>
      <c r="AL62">
        <v>19</v>
      </c>
      <c r="AO62" s="41"/>
      <c r="AP62" s="41"/>
      <c r="AQ62" t="str">
        <f t="shared" si="0"/>
        <v/>
      </c>
      <c r="AS62" t="str">
        <f t="shared" si="1"/>
        <v>wci_corp</v>
      </c>
    </row>
    <row r="63" spans="2:45" x14ac:dyDescent="0.2">
      <c r="B63" t="s">
        <v>162</v>
      </c>
      <c r="C63" s="31">
        <v>43951</v>
      </c>
      <c r="D63" s="15">
        <v>4504.9799999999996</v>
      </c>
      <c r="E63" s="15">
        <v>0</v>
      </c>
      <c r="F63" s="53" t="s">
        <v>134</v>
      </c>
      <c r="G63" t="s">
        <v>188</v>
      </c>
      <c r="H63" s="41" t="s">
        <v>136</v>
      </c>
      <c r="I63" t="s">
        <v>189</v>
      </c>
      <c r="J63" t="s">
        <v>190</v>
      </c>
      <c r="K63" t="s">
        <v>139</v>
      </c>
      <c r="L63" s="17"/>
      <c r="M63" s="17"/>
      <c r="N63" s="17" t="s">
        <v>191</v>
      </c>
      <c r="O63" s="36"/>
      <c r="P63" s="17"/>
      <c r="Q63" s="17"/>
      <c r="U63" t="s">
        <v>192</v>
      </c>
      <c r="V63" t="s">
        <v>192</v>
      </c>
      <c r="X63" s="31">
        <v>43937</v>
      </c>
      <c r="Y63" s="31">
        <v>43937</v>
      </c>
      <c r="AA63" s="31"/>
      <c r="AB63" t="s">
        <v>9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1</v>
      </c>
      <c r="AI63">
        <v>52036</v>
      </c>
      <c r="AJ63">
        <v>2111</v>
      </c>
      <c r="AK63">
        <v>0</v>
      </c>
      <c r="AL63">
        <v>19</v>
      </c>
      <c r="AO63" s="41"/>
      <c r="AP63" s="41"/>
      <c r="AQ63" t="str">
        <f t="shared" si="0"/>
        <v/>
      </c>
      <c r="AS63" t="str">
        <f t="shared" si="1"/>
        <v>wci_corp</v>
      </c>
    </row>
    <row r="64" spans="2:45" x14ac:dyDescent="0.2">
      <c r="B64" t="s">
        <v>200</v>
      </c>
      <c r="C64" s="31">
        <v>43951</v>
      </c>
      <c r="D64" s="15">
        <v>5768</v>
      </c>
      <c r="E64" s="15">
        <v>0</v>
      </c>
      <c r="F64" s="53" t="s">
        <v>134</v>
      </c>
      <c r="G64" t="s">
        <v>188</v>
      </c>
      <c r="H64" s="41" t="s">
        <v>136</v>
      </c>
      <c r="I64" t="s">
        <v>189</v>
      </c>
      <c r="J64" t="s">
        <v>190</v>
      </c>
      <c r="K64" t="s">
        <v>139</v>
      </c>
      <c r="L64" s="17"/>
      <c r="M64" s="17"/>
      <c r="N64" s="17" t="s">
        <v>199</v>
      </c>
      <c r="O64" s="36"/>
      <c r="P64" s="17"/>
      <c r="Q64" s="17"/>
      <c r="U64" t="s">
        <v>192</v>
      </c>
      <c r="V64" t="s">
        <v>192</v>
      </c>
      <c r="X64" s="31">
        <v>43937</v>
      </c>
      <c r="Y64" s="31">
        <v>43937</v>
      </c>
      <c r="AA64" s="31"/>
      <c r="AB64" t="s">
        <v>9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</v>
      </c>
      <c r="AI64">
        <v>52065</v>
      </c>
      <c r="AJ64">
        <v>2111</v>
      </c>
      <c r="AK64">
        <v>0</v>
      </c>
      <c r="AL64">
        <v>19</v>
      </c>
      <c r="AO64" s="41"/>
      <c r="AP64" s="41"/>
      <c r="AQ64" t="str">
        <f t="shared" si="0"/>
        <v/>
      </c>
      <c r="AS64" t="str">
        <f t="shared" si="1"/>
        <v>wci_corp</v>
      </c>
    </row>
    <row r="65" spans="2:45" x14ac:dyDescent="0.2">
      <c r="B65" t="s">
        <v>164</v>
      </c>
      <c r="C65" s="31">
        <v>43951</v>
      </c>
      <c r="D65" s="15">
        <v>1189.78</v>
      </c>
      <c r="E65" s="15">
        <v>0</v>
      </c>
      <c r="F65" s="53" t="s">
        <v>134</v>
      </c>
      <c r="G65" t="s">
        <v>188</v>
      </c>
      <c r="H65" s="41" t="s">
        <v>136</v>
      </c>
      <c r="I65" t="s">
        <v>189</v>
      </c>
      <c r="J65" t="s">
        <v>190</v>
      </c>
      <c r="K65" t="s">
        <v>139</v>
      </c>
      <c r="L65" s="17"/>
      <c r="M65" s="17"/>
      <c r="N65" s="17" t="s">
        <v>191</v>
      </c>
      <c r="O65" s="36"/>
      <c r="P65" s="17"/>
      <c r="Q65" s="17"/>
      <c r="U65" t="s">
        <v>192</v>
      </c>
      <c r="V65" t="s">
        <v>192</v>
      </c>
      <c r="X65" s="31">
        <v>43937</v>
      </c>
      <c r="Y65" s="31">
        <v>43937</v>
      </c>
      <c r="AA65" s="31"/>
      <c r="AB65" t="s">
        <v>9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</v>
      </c>
      <c r="AI65">
        <v>55036</v>
      </c>
      <c r="AJ65">
        <v>2111</v>
      </c>
      <c r="AK65">
        <v>0</v>
      </c>
      <c r="AL65">
        <v>19</v>
      </c>
      <c r="AO65" s="41"/>
      <c r="AP65" s="41"/>
      <c r="AQ65" t="str">
        <f t="shared" si="0"/>
        <v/>
      </c>
      <c r="AS65" t="str">
        <f t="shared" si="1"/>
        <v>wci_corp</v>
      </c>
    </row>
    <row r="66" spans="2:45" x14ac:dyDescent="0.2">
      <c r="B66" t="s">
        <v>166</v>
      </c>
      <c r="C66" s="31">
        <v>43951</v>
      </c>
      <c r="D66" s="15">
        <v>500</v>
      </c>
      <c r="E66" s="15">
        <v>0</v>
      </c>
      <c r="F66" s="53" t="s">
        <v>134</v>
      </c>
      <c r="G66" t="s">
        <v>188</v>
      </c>
      <c r="H66" s="41" t="s">
        <v>136</v>
      </c>
      <c r="I66" t="s">
        <v>189</v>
      </c>
      <c r="J66" t="s">
        <v>190</v>
      </c>
      <c r="K66" t="s">
        <v>139</v>
      </c>
      <c r="L66" s="17"/>
      <c r="M66" s="17"/>
      <c r="N66" s="17" t="s">
        <v>191</v>
      </c>
      <c r="O66" s="36"/>
      <c r="P66" s="17"/>
      <c r="Q66" s="17"/>
      <c r="U66" t="s">
        <v>192</v>
      </c>
      <c r="V66" t="s">
        <v>192</v>
      </c>
      <c r="X66" s="31">
        <v>43937</v>
      </c>
      <c r="Y66" s="31">
        <v>43937</v>
      </c>
      <c r="AA66" s="31"/>
      <c r="AB66" t="s">
        <v>9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1</v>
      </c>
      <c r="AI66">
        <v>56036</v>
      </c>
      <c r="AJ66">
        <v>2111</v>
      </c>
      <c r="AK66">
        <v>0</v>
      </c>
      <c r="AL66">
        <v>19</v>
      </c>
      <c r="AO66" s="41"/>
      <c r="AP66" s="41"/>
      <c r="AQ66" t="str">
        <f t="shared" si="0"/>
        <v/>
      </c>
      <c r="AS66" t="str">
        <f t="shared" si="1"/>
        <v>wci_corp</v>
      </c>
    </row>
    <row r="67" spans="2:45" x14ac:dyDescent="0.2">
      <c r="B67" t="s">
        <v>201</v>
      </c>
      <c r="C67" s="31">
        <v>43951</v>
      </c>
      <c r="D67" s="15">
        <v>750</v>
      </c>
      <c r="E67" s="15">
        <v>0</v>
      </c>
      <c r="F67" s="53" t="s">
        <v>134</v>
      </c>
      <c r="G67" t="s">
        <v>188</v>
      </c>
      <c r="H67" s="41" t="s">
        <v>136</v>
      </c>
      <c r="I67" t="s">
        <v>189</v>
      </c>
      <c r="J67" t="s">
        <v>190</v>
      </c>
      <c r="K67" t="s">
        <v>139</v>
      </c>
      <c r="L67" s="17"/>
      <c r="M67" s="17"/>
      <c r="N67" s="17" t="s">
        <v>191</v>
      </c>
      <c r="O67" s="36"/>
      <c r="P67" s="17"/>
      <c r="Q67" s="17"/>
      <c r="U67" t="s">
        <v>192</v>
      </c>
      <c r="V67" t="s">
        <v>192</v>
      </c>
      <c r="X67" s="31">
        <v>43937</v>
      </c>
      <c r="Y67" s="31">
        <v>43937</v>
      </c>
      <c r="AA67" s="31"/>
      <c r="AB67" t="s">
        <v>9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1</v>
      </c>
      <c r="AI67">
        <v>56036</v>
      </c>
      <c r="AJ67">
        <v>2111</v>
      </c>
      <c r="AK67">
        <v>700</v>
      </c>
      <c r="AL67">
        <v>19</v>
      </c>
      <c r="AO67" s="41"/>
      <c r="AP67" s="41"/>
      <c r="AQ67" t="str">
        <f t="shared" si="0"/>
        <v/>
      </c>
      <c r="AS67" t="str">
        <f t="shared" si="1"/>
        <v>wci_corp</v>
      </c>
    </row>
    <row r="68" spans="2:45" x14ac:dyDescent="0.2">
      <c r="B68" t="s">
        <v>168</v>
      </c>
      <c r="C68" s="31">
        <v>43951</v>
      </c>
      <c r="D68" s="15">
        <v>4036</v>
      </c>
      <c r="E68" s="15">
        <v>0</v>
      </c>
      <c r="F68" s="53" t="s">
        <v>134</v>
      </c>
      <c r="G68" t="s">
        <v>188</v>
      </c>
      <c r="H68" s="41" t="s">
        <v>136</v>
      </c>
      <c r="I68" t="s">
        <v>189</v>
      </c>
      <c r="J68" t="s">
        <v>190</v>
      </c>
      <c r="K68" t="s">
        <v>139</v>
      </c>
      <c r="L68" s="17"/>
      <c r="M68" s="17"/>
      <c r="N68" s="17" t="s">
        <v>191</v>
      </c>
      <c r="O68" s="36"/>
      <c r="P68" s="17"/>
      <c r="Q68" s="17"/>
      <c r="U68" t="s">
        <v>192</v>
      </c>
      <c r="V68" t="s">
        <v>192</v>
      </c>
      <c r="X68" s="31">
        <v>43937</v>
      </c>
      <c r="Y68" s="31">
        <v>43937</v>
      </c>
      <c r="AA68" s="31"/>
      <c r="AB68" t="s">
        <v>9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1</v>
      </c>
      <c r="AI68">
        <v>70036</v>
      </c>
      <c r="AJ68">
        <v>2111</v>
      </c>
      <c r="AK68">
        <v>0</v>
      </c>
      <c r="AL68">
        <v>19</v>
      </c>
      <c r="AO68" s="41"/>
      <c r="AP68" s="41"/>
      <c r="AQ68" t="str">
        <f t="shared" si="0"/>
        <v/>
      </c>
      <c r="AS68" t="str">
        <f t="shared" si="1"/>
        <v>wci_corp</v>
      </c>
    </row>
    <row r="69" spans="2:45" x14ac:dyDescent="0.2">
      <c r="B69" t="s">
        <v>168</v>
      </c>
      <c r="C69" s="31">
        <v>43951</v>
      </c>
      <c r="D69" s="15">
        <v>250</v>
      </c>
      <c r="E69" s="15">
        <v>0</v>
      </c>
      <c r="F69" s="53" t="s">
        <v>134</v>
      </c>
      <c r="G69" t="s">
        <v>188</v>
      </c>
      <c r="H69" s="41" t="s">
        <v>136</v>
      </c>
      <c r="I69" t="s">
        <v>189</v>
      </c>
      <c r="J69" t="s">
        <v>190</v>
      </c>
      <c r="K69" t="s">
        <v>139</v>
      </c>
      <c r="L69" s="17"/>
      <c r="M69" s="17"/>
      <c r="N69" s="17" t="s">
        <v>191</v>
      </c>
      <c r="O69" s="36"/>
      <c r="P69" s="17"/>
      <c r="Q69" s="17"/>
      <c r="U69" t="s">
        <v>192</v>
      </c>
      <c r="V69" t="s">
        <v>192</v>
      </c>
      <c r="X69" s="31">
        <v>43937</v>
      </c>
      <c r="Y69" s="31">
        <v>43937</v>
      </c>
      <c r="AA69" s="31"/>
      <c r="AB69" t="s">
        <v>9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1</v>
      </c>
      <c r="AI69">
        <v>70036</v>
      </c>
      <c r="AJ69">
        <v>2111</v>
      </c>
      <c r="AK69">
        <v>0</v>
      </c>
      <c r="AL69">
        <v>19</v>
      </c>
      <c r="AO69" s="41"/>
      <c r="AP69" s="41"/>
      <c r="AQ69" t="str">
        <f t="shared" si="0"/>
        <v/>
      </c>
      <c r="AS69" t="str">
        <f t="shared" si="1"/>
        <v>wci_corp</v>
      </c>
    </row>
    <row r="70" spans="2:45" x14ac:dyDescent="0.2">
      <c r="B70" t="s">
        <v>202</v>
      </c>
      <c r="C70" s="31">
        <v>43951</v>
      </c>
      <c r="D70" s="15">
        <v>-424</v>
      </c>
      <c r="E70" s="15">
        <v>0</v>
      </c>
      <c r="F70" s="53" t="s">
        <v>134</v>
      </c>
      <c r="G70" t="s">
        <v>203</v>
      </c>
      <c r="H70" s="41" t="s">
        <v>136</v>
      </c>
      <c r="I70" t="s">
        <v>204</v>
      </c>
      <c r="J70" t="s">
        <v>205</v>
      </c>
      <c r="K70" t="s">
        <v>139</v>
      </c>
      <c r="L70" s="17"/>
      <c r="M70" s="17"/>
      <c r="N70" s="17" t="s">
        <v>146</v>
      </c>
      <c r="O70" s="36"/>
      <c r="P70" s="17"/>
      <c r="Q70" s="17"/>
      <c r="U70" t="s">
        <v>206</v>
      </c>
      <c r="V70" t="s">
        <v>206</v>
      </c>
      <c r="X70" s="31">
        <v>43951</v>
      </c>
      <c r="Y70" s="31">
        <v>43951</v>
      </c>
      <c r="AA70" s="31"/>
      <c r="AB70" t="s">
        <v>9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1</v>
      </c>
      <c r="AI70">
        <v>50020</v>
      </c>
      <c r="AJ70">
        <v>2111</v>
      </c>
      <c r="AK70">
        <v>0</v>
      </c>
      <c r="AL70">
        <v>19</v>
      </c>
      <c r="AO70" s="41"/>
      <c r="AP70" s="41"/>
      <c r="AQ70" t="str">
        <f t="shared" si="0"/>
        <v/>
      </c>
      <c r="AS70" t="str">
        <f t="shared" si="1"/>
        <v>wci_corp</v>
      </c>
    </row>
    <row r="71" spans="2:45" x14ac:dyDescent="0.2">
      <c r="B71" t="s">
        <v>202</v>
      </c>
      <c r="C71" s="31">
        <v>43951</v>
      </c>
      <c r="D71" s="15">
        <v>424</v>
      </c>
      <c r="E71" s="15">
        <v>0</v>
      </c>
      <c r="F71" s="53" t="s">
        <v>134</v>
      </c>
      <c r="G71" t="s">
        <v>203</v>
      </c>
      <c r="H71" s="41" t="s">
        <v>136</v>
      </c>
      <c r="I71" t="s">
        <v>204</v>
      </c>
      <c r="J71" t="s">
        <v>205</v>
      </c>
      <c r="K71" t="s">
        <v>139</v>
      </c>
      <c r="L71" s="17"/>
      <c r="M71" s="17"/>
      <c r="N71" s="17" t="s">
        <v>146</v>
      </c>
      <c r="O71" s="36"/>
      <c r="P71" s="17"/>
      <c r="Q71" s="17"/>
      <c r="U71" t="s">
        <v>206</v>
      </c>
      <c r="V71" t="s">
        <v>206</v>
      </c>
      <c r="X71" s="31">
        <v>43951</v>
      </c>
      <c r="Y71" s="31">
        <v>43951</v>
      </c>
      <c r="AA71" s="31"/>
      <c r="AB71" t="s">
        <v>9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1</v>
      </c>
      <c r="AI71">
        <v>50020</v>
      </c>
      <c r="AJ71">
        <v>2111</v>
      </c>
      <c r="AK71">
        <v>0</v>
      </c>
      <c r="AL71">
        <v>19</v>
      </c>
      <c r="AO71" s="41"/>
      <c r="AP71" s="41"/>
      <c r="AQ71" t="str">
        <f t="shared" si="0"/>
        <v/>
      </c>
      <c r="AS71" t="str">
        <f t="shared" si="1"/>
        <v>wci_corp</v>
      </c>
    </row>
    <row r="72" spans="2:45" x14ac:dyDescent="0.2">
      <c r="B72" t="s">
        <v>202</v>
      </c>
      <c r="C72" s="31">
        <v>43951</v>
      </c>
      <c r="D72" s="15">
        <v>424</v>
      </c>
      <c r="E72" s="15">
        <v>0</v>
      </c>
      <c r="F72" s="53" t="s">
        <v>134</v>
      </c>
      <c r="G72" t="s">
        <v>203</v>
      </c>
      <c r="H72" s="41" t="s">
        <v>136</v>
      </c>
      <c r="I72" t="s">
        <v>204</v>
      </c>
      <c r="J72" t="s">
        <v>205</v>
      </c>
      <c r="K72" t="s">
        <v>139</v>
      </c>
      <c r="L72" s="17"/>
      <c r="M72" s="17"/>
      <c r="N72" s="17" t="s">
        <v>199</v>
      </c>
      <c r="O72" s="36"/>
      <c r="P72" s="17"/>
      <c r="Q72" s="17"/>
      <c r="U72" t="s">
        <v>206</v>
      </c>
      <c r="V72" t="s">
        <v>206</v>
      </c>
      <c r="X72" s="31">
        <v>43951</v>
      </c>
      <c r="Y72" s="31">
        <v>43951</v>
      </c>
      <c r="AA72" s="31"/>
      <c r="AB72" t="s">
        <v>9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50020</v>
      </c>
      <c r="AJ72">
        <v>2111</v>
      </c>
      <c r="AK72">
        <v>0</v>
      </c>
      <c r="AL72">
        <v>19</v>
      </c>
      <c r="AO72" s="41"/>
      <c r="AP72" s="41"/>
      <c r="AQ72" t="str">
        <f t="shared" si="0"/>
        <v/>
      </c>
      <c r="AS72" t="str">
        <f t="shared" si="1"/>
        <v>wci_corp</v>
      </c>
    </row>
    <row r="73" spans="2:45" x14ac:dyDescent="0.2">
      <c r="B73" t="s">
        <v>202</v>
      </c>
      <c r="C73" s="31">
        <v>43951</v>
      </c>
      <c r="D73" s="15">
        <v>942.4</v>
      </c>
      <c r="E73" s="15">
        <v>0</v>
      </c>
      <c r="F73" s="53" t="s">
        <v>134</v>
      </c>
      <c r="G73" t="s">
        <v>203</v>
      </c>
      <c r="H73" s="41" t="s">
        <v>136</v>
      </c>
      <c r="I73" t="s">
        <v>204</v>
      </c>
      <c r="J73" t="s">
        <v>205</v>
      </c>
      <c r="K73" t="s">
        <v>139</v>
      </c>
      <c r="L73" s="17"/>
      <c r="M73" s="17"/>
      <c r="N73" s="17" t="s">
        <v>140</v>
      </c>
      <c r="O73" s="36"/>
      <c r="P73" s="17"/>
      <c r="Q73" s="17"/>
      <c r="U73" t="s">
        <v>206</v>
      </c>
      <c r="V73" t="s">
        <v>206</v>
      </c>
      <c r="X73" s="31">
        <v>43951</v>
      </c>
      <c r="Y73" s="31">
        <v>43951</v>
      </c>
      <c r="AA73" s="31"/>
      <c r="AB73" t="s">
        <v>9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1</v>
      </c>
      <c r="AI73">
        <v>50020</v>
      </c>
      <c r="AJ73">
        <v>2111</v>
      </c>
      <c r="AK73">
        <v>0</v>
      </c>
      <c r="AL73">
        <v>19</v>
      </c>
      <c r="AO73" s="41"/>
      <c r="AP73" s="41"/>
      <c r="AQ73" t="str">
        <f t="shared" si="0"/>
        <v/>
      </c>
      <c r="AS73" t="str">
        <f t="shared" si="1"/>
        <v>wci_corp</v>
      </c>
    </row>
    <row r="74" spans="2:45" x14ac:dyDescent="0.2">
      <c r="B74" t="s">
        <v>202</v>
      </c>
      <c r="C74" s="31">
        <v>43951</v>
      </c>
      <c r="D74" s="15">
        <v>1508.08</v>
      </c>
      <c r="E74" s="15">
        <v>0</v>
      </c>
      <c r="F74" s="53" t="s">
        <v>134</v>
      </c>
      <c r="G74" t="s">
        <v>203</v>
      </c>
      <c r="H74" s="41" t="s">
        <v>136</v>
      </c>
      <c r="I74" t="s">
        <v>204</v>
      </c>
      <c r="J74" t="s">
        <v>205</v>
      </c>
      <c r="K74" t="s">
        <v>139</v>
      </c>
      <c r="L74" s="17"/>
      <c r="M74" s="17"/>
      <c r="N74" s="17" t="s">
        <v>199</v>
      </c>
      <c r="O74" s="36"/>
      <c r="P74" s="17"/>
      <c r="Q74" s="17"/>
      <c r="U74" t="s">
        <v>206</v>
      </c>
      <c r="V74" t="s">
        <v>206</v>
      </c>
      <c r="X74" s="31">
        <v>43951</v>
      </c>
      <c r="Y74" s="31">
        <v>43951</v>
      </c>
      <c r="AA74" s="31"/>
      <c r="AB74" t="s">
        <v>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1</v>
      </c>
      <c r="AI74">
        <v>50020</v>
      </c>
      <c r="AJ74">
        <v>2111</v>
      </c>
      <c r="AK74">
        <v>0</v>
      </c>
      <c r="AL74">
        <v>19</v>
      </c>
      <c r="AO74" s="41"/>
      <c r="AP74" s="41"/>
      <c r="AQ74" t="str">
        <f t="shared" si="0"/>
        <v/>
      </c>
      <c r="AS74" t="str">
        <f t="shared" si="1"/>
        <v>wci_corp</v>
      </c>
    </row>
    <row r="75" spans="2:45" x14ac:dyDescent="0.2">
      <c r="B75" t="s">
        <v>133</v>
      </c>
      <c r="C75" s="31">
        <v>43951</v>
      </c>
      <c r="D75" s="15">
        <v>424</v>
      </c>
      <c r="E75" s="15">
        <v>0</v>
      </c>
      <c r="F75" s="53" t="s">
        <v>134</v>
      </c>
      <c r="G75" t="s">
        <v>203</v>
      </c>
      <c r="H75" s="41" t="s">
        <v>136</v>
      </c>
      <c r="I75" t="s">
        <v>204</v>
      </c>
      <c r="J75" t="s">
        <v>205</v>
      </c>
      <c r="K75" t="s">
        <v>139</v>
      </c>
      <c r="L75" s="17"/>
      <c r="M75" s="17"/>
      <c r="N75" s="17" t="s">
        <v>146</v>
      </c>
      <c r="O75" s="36"/>
      <c r="P75" s="17"/>
      <c r="Q75" s="17"/>
      <c r="U75" t="s">
        <v>206</v>
      </c>
      <c r="V75" t="s">
        <v>206</v>
      </c>
      <c r="X75" s="31">
        <v>43951</v>
      </c>
      <c r="Y75" s="31">
        <v>43951</v>
      </c>
      <c r="AA75" s="31"/>
      <c r="AB75" t="s">
        <v>9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1</v>
      </c>
      <c r="AI75">
        <v>50065</v>
      </c>
      <c r="AJ75">
        <v>2111</v>
      </c>
      <c r="AK75">
        <v>0</v>
      </c>
      <c r="AL75">
        <v>19</v>
      </c>
      <c r="AO75" s="41"/>
      <c r="AP75" s="41"/>
      <c r="AQ75" t="str">
        <f t="shared" si="0"/>
        <v/>
      </c>
      <c r="AS75" t="str">
        <f t="shared" si="1"/>
        <v>wci_corp</v>
      </c>
    </row>
    <row r="76" spans="2:45" x14ac:dyDescent="0.2">
      <c r="B76" t="s">
        <v>133</v>
      </c>
      <c r="C76" s="31">
        <v>43951</v>
      </c>
      <c r="D76" s="15">
        <v>-424</v>
      </c>
      <c r="E76" s="15">
        <v>0</v>
      </c>
      <c r="F76" s="53" t="s">
        <v>134</v>
      </c>
      <c r="G76" t="s">
        <v>203</v>
      </c>
      <c r="H76" s="41" t="s">
        <v>136</v>
      </c>
      <c r="I76" t="s">
        <v>204</v>
      </c>
      <c r="J76" t="s">
        <v>205</v>
      </c>
      <c r="K76" t="s">
        <v>139</v>
      </c>
      <c r="L76" s="17"/>
      <c r="M76" s="17"/>
      <c r="N76" s="17" t="s">
        <v>146</v>
      </c>
      <c r="O76" s="36"/>
      <c r="P76" s="17"/>
      <c r="Q76" s="17"/>
      <c r="U76" t="s">
        <v>206</v>
      </c>
      <c r="V76" t="s">
        <v>206</v>
      </c>
      <c r="X76" s="31">
        <v>43951</v>
      </c>
      <c r="Y76" s="31">
        <v>43951</v>
      </c>
      <c r="AA76" s="31"/>
      <c r="AB76" t="s">
        <v>9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1</v>
      </c>
      <c r="AI76">
        <v>50065</v>
      </c>
      <c r="AJ76">
        <v>2111</v>
      </c>
      <c r="AK76">
        <v>0</v>
      </c>
      <c r="AL76">
        <v>19</v>
      </c>
      <c r="AO76" s="41"/>
      <c r="AP76" s="41"/>
      <c r="AQ76" t="str">
        <f t="shared" si="0"/>
        <v/>
      </c>
      <c r="AS76" t="str">
        <f t="shared" si="1"/>
        <v>wci_corp</v>
      </c>
    </row>
    <row r="77" spans="2:45" x14ac:dyDescent="0.2">
      <c r="B77" t="s">
        <v>133</v>
      </c>
      <c r="C77" s="31">
        <v>43951</v>
      </c>
      <c r="D77" s="15">
        <v>-424</v>
      </c>
      <c r="E77" s="15">
        <v>0</v>
      </c>
      <c r="F77" s="53" t="s">
        <v>134</v>
      </c>
      <c r="G77" t="s">
        <v>203</v>
      </c>
      <c r="H77" s="41" t="s">
        <v>136</v>
      </c>
      <c r="I77" t="s">
        <v>204</v>
      </c>
      <c r="J77" t="s">
        <v>205</v>
      </c>
      <c r="K77" t="s">
        <v>139</v>
      </c>
      <c r="L77" s="17"/>
      <c r="M77" s="17"/>
      <c r="N77" s="17" t="s">
        <v>199</v>
      </c>
      <c r="O77" s="36"/>
      <c r="P77" s="17"/>
      <c r="Q77" s="17"/>
      <c r="U77" t="s">
        <v>206</v>
      </c>
      <c r="V77" t="s">
        <v>206</v>
      </c>
      <c r="X77" s="31">
        <v>43951</v>
      </c>
      <c r="Y77" s="31">
        <v>43951</v>
      </c>
      <c r="AA77" s="31"/>
      <c r="AB77" t="s">
        <v>9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1</v>
      </c>
      <c r="AI77">
        <v>50065</v>
      </c>
      <c r="AJ77">
        <v>2111</v>
      </c>
      <c r="AK77">
        <v>0</v>
      </c>
      <c r="AL77">
        <v>19</v>
      </c>
      <c r="AO77" s="41"/>
      <c r="AP77" s="41"/>
      <c r="AQ77" t="str">
        <f t="shared" si="0"/>
        <v/>
      </c>
      <c r="AS77" t="str">
        <f t="shared" si="1"/>
        <v>wci_corp</v>
      </c>
    </row>
    <row r="78" spans="2:45" x14ac:dyDescent="0.2">
      <c r="B78" t="s">
        <v>133</v>
      </c>
      <c r="C78" s="31">
        <v>43951</v>
      </c>
      <c r="D78" s="15">
        <v>-942.4</v>
      </c>
      <c r="E78" s="15">
        <v>0</v>
      </c>
      <c r="F78" s="53" t="s">
        <v>134</v>
      </c>
      <c r="G78" t="s">
        <v>203</v>
      </c>
      <c r="H78" s="41" t="s">
        <v>136</v>
      </c>
      <c r="I78" t="s">
        <v>204</v>
      </c>
      <c r="J78" t="s">
        <v>205</v>
      </c>
      <c r="K78" t="s">
        <v>139</v>
      </c>
      <c r="L78" s="17"/>
      <c r="M78" s="17"/>
      <c r="N78" s="17" t="s">
        <v>140</v>
      </c>
      <c r="O78" s="36"/>
      <c r="P78" s="17"/>
      <c r="Q78" s="17"/>
      <c r="U78" t="s">
        <v>206</v>
      </c>
      <c r="V78" t="s">
        <v>206</v>
      </c>
      <c r="X78" s="31">
        <v>43951</v>
      </c>
      <c r="Y78" s="31">
        <v>43951</v>
      </c>
      <c r="AA78" s="31"/>
      <c r="AB78" t="s">
        <v>9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1</v>
      </c>
      <c r="AI78">
        <v>50065</v>
      </c>
      <c r="AJ78">
        <v>2111</v>
      </c>
      <c r="AK78">
        <v>0</v>
      </c>
      <c r="AL78">
        <v>19</v>
      </c>
      <c r="AO78" s="41"/>
      <c r="AP78" s="41"/>
      <c r="AQ78" t="str">
        <f t="shared" si="0"/>
        <v/>
      </c>
      <c r="AS78" t="str">
        <f t="shared" si="1"/>
        <v>wci_corp</v>
      </c>
    </row>
    <row r="79" spans="2:45" x14ac:dyDescent="0.2">
      <c r="B79" t="s">
        <v>133</v>
      </c>
      <c r="C79" s="31">
        <v>43951</v>
      </c>
      <c r="D79" s="15">
        <v>-1508.08</v>
      </c>
      <c r="E79" s="15">
        <v>0</v>
      </c>
      <c r="F79" s="53" t="s">
        <v>134</v>
      </c>
      <c r="G79" t="s">
        <v>203</v>
      </c>
      <c r="H79" s="41" t="s">
        <v>136</v>
      </c>
      <c r="I79" t="s">
        <v>204</v>
      </c>
      <c r="J79" t="s">
        <v>205</v>
      </c>
      <c r="K79" t="s">
        <v>139</v>
      </c>
      <c r="L79" s="17"/>
      <c r="M79" s="17"/>
      <c r="N79" s="17" t="s">
        <v>199</v>
      </c>
      <c r="O79" s="36"/>
      <c r="P79" s="17"/>
      <c r="Q79" s="17"/>
      <c r="U79" t="s">
        <v>206</v>
      </c>
      <c r="V79" t="s">
        <v>206</v>
      </c>
      <c r="X79" s="31">
        <v>43951</v>
      </c>
      <c r="Y79" s="31">
        <v>43951</v>
      </c>
      <c r="AA79" s="31"/>
      <c r="AB79" t="s">
        <v>9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1</v>
      </c>
      <c r="AI79">
        <v>50065</v>
      </c>
      <c r="AJ79">
        <v>2111</v>
      </c>
      <c r="AK79">
        <v>0</v>
      </c>
      <c r="AL79">
        <v>19</v>
      </c>
      <c r="AO79" s="41"/>
      <c r="AP79" s="41"/>
      <c r="AQ79" t="str">
        <f t="shared" si="0"/>
        <v/>
      </c>
      <c r="AS79" t="str">
        <f t="shared" si="1"/>
        <v>wci_corp</v>
      </c>
    </row>
    <row r="80" spans="2:45" x14ac:dyDescent="0.2">
      <c r="B80" t="s">
        <v>207</v>
      </c>
      <c r="C80" s="31">
        <v>43951</v>
      </c>
      <c r="D80" s="15">
        <v>5768</v>
      </c>
      <c r="E80" s="15">
        <v>0</v>
      </c>
      <c r="F80" s="53" t="s">
        <v>134</v>
      </c>
      <c r="G80" t="s">
        <v>203</v>
      </c>
      <c r="H80" s="41" t="s">
        <v>136</v>
      </c>
      <c r="I80" t="s">
        <v>204</v>
      </c>
      <c r="J80" t="s">
        <v>205</v>
      </c>
      <c r="K80" t="s">
        <v>139</v>
      </c>
      <c r="L80" s="17"/>
      <c r="M80" s="17"/>
      <c r="N80" s="17" t="s">
        <v>199</v>
      </c>
      <c r="O80" s="36"/>
      <c r="P80" s="17"/>
      <c r="Q80" s="17"/>
      <c r="U80" t="s">
        <v>206</v>
      </c>
      <c r="V80" t="s">
        <v>206</v>
      </c>
      <c r="X80" s="31">
        <v>43951</v>
      </c>
      <c r="Y80" s="31">
        <v>43951</v>
      </c>
      <c r="AA80" s="31"/>
      <c r="AB80" t="s">
        <v>9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  <c r="AI80">
        <v>52020</v>
      </c>
      <c r="AJ80">
        <v>2111</v>
      </c>
      <c r="AK80">
        <v>0</v>
      </c>
      <c r="AL80">
        <v>19</v>
      </c>
      <c r="AO80" s="41"/>
      <c r="AP80" s="41"/>
      <c r="AQ80" t="str">
        <f t="shared" si="0"/>
        <v/>
      </c>
      <c r="AS80" t="str">
        <f t="shared" si="1"/>
        <v>wci_corp</v>
      </c>
    </row>
    <row r="81" spans="2:45" x14ac:dyDescent="0.2">
      <c r="B81" t="s">
        <v>200</v>
      </c>
      <c r="C81" s="31">
        <v>43951</v>
      </c>
      <c r="D81" s="15">
        <v>-5768</v>
      </c>
      <c r="E81" s="15">
        <v>0</v>
      </c>
      <c r="F81" s="53" t="s">
        <v>134</v>
      </c>
      <c r="G81" t="s">
        <v>203</v>
      </c>
      <c r="H81" s="41" t="s">
        <v>136</v>
      </c>
      <c r="I81" t="s">
        <v>204</v>
      </c>
      <c r="J81" t="s">
        <v>205</v>
      </c>
      <c r="K81" t="s">
        <v>139</v>
      </c>
      <c r="L81" s="17"/>
      <c r="M81" s="17"/>
      <c r="N81" s="17" t="s">
        <v>199</v>
      </c>
      <c r="O81" s="36"/>
      <c r="P81" s="17"/>
      <c r="Q81" s="17"/>
      <c r="U81" t="s">
        <v>206</v>
      </c>
      <c r="V81" t="s">
        <v>206</v>
      </c>
      <c r="X81" s="31">
        <v>43951</v>
      </c>
      <c r="Y81" s="31">
        <v>43951</v>
      </c>
      <c r="AA81" s="31"/>
      <c r="AB81" t="s">
        <v>9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1</v>
      </c>
      <c r="AI81">
        <v>52065</v>
      </c>
      <c r="AJ81">
        <v>2111</v>
      </c>
      <c r="AK81">
        <v>0</v>
      </c>
      <c r="AL81">
        <v>19</v>
      </c>
      <c r="AO81" s="41"/>
      <c r="AP81" s="41"/>
      <c r="AQ81" t="str">
        <f t="shared" si="0"/>
        <v/>
      </c>
      <c r="AS81" t="str">
        <f t="shared" si="1"/>
        <v>wci_corp</v>
      </c>
    </row>
    <row r="82" spans="2:45" x14ac:dyDescent="0.2">
      <c r="B82" t="s">
        <v>202</v>
      </c>
      <c r="C82" s="31">
        <v>43951</v>
      </c>
      <c r="D82" s="15">
        <v>1084</v>
      </c>
      <c r="E82" s="15">
        <v>0</v>
      </c>
      <c r="F82" s="53" t="s">
        <v>134</v>
      </c>
      <c r="G82" t="s">
        <v>208</v>
      </c>
      <c r="H82" s="41" t="s">
        <v>136</v>
      </c>
      <c r="I82" t="s">
        <v>209</v>
      </c>
      <c r="J82" t="s">
        <v>138</v>
      </c>
      <c r="K82" t="s">
        <v>139</v>
      </c>
      <c r="L82" s="17"/>
      <c r="M82" s="17"/>
      <c r="N82" s="17" t="s">
        <v>210</v>
      </c>
      <c r="O82" s="36"/>
      <c r="P82" s="17"/>
      <c r="Q82" s="17"/>
      <c r="U82" t="s">
        <v>211</v>
      </c>
      <c r="V82" t="s">
        <v>211</v>
      </c>
      <c r="X82" s="31">
        <v>43952</v>
      </c>
      <c r="Y82" s="31">
        <v>43952</v>
      </c>
      <c r="AA82" s="31"/>
      <c r="AB82" t="s">
        <v>9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1</v>
      </c>
      <c r="AI82">
        <v>50020</v>
      </c>
      <c r="AJ82">
        <v>2111</v>
      </c>
      <c r="AK82">
        <v>0</v>
      </c>
      <c r="AL82">
        <v>19</v>
      </c>
      <c r="AO82" s="41"/>
      <c r="AP82" s="41"/>
      <c r="AQ82" t="str">
        <f t="shared" si="0"/>
        <v/>
      </c>
      <c r="AS82" t="str">
        <f t="shared" si="1"/>
        <v>wci_corp</v>
      </c>
    </row>
    <row r="83" spans="2:45" x14ac:dyDescent="0.2">
      <c r="B83" t="s">
        <v>156</v>
      </c>
      <c r="C83" s="31">
        <v>43951</v>
      </c>
      <c r="D83" s="15">
        <v>1845</v>
      </c>
      <c r="E83" s="15">
        <v>0</v>
      </c>
      <c r="F83" s="53" t="s">
        <v>134</v>
      </c>
      <c r="G83" t="s">
        <v>208</v>
      </c>
      <c r="H83" s="41" t="s">
        <v>136</v>
      </c>
      <c r="I83" t="s">
        <v>209</v>
      </c>
      <c r="J83" t="s">
        <v>138</v>
      </c>
      <c r="K83" t="s">
        <v>139</v>
      </c>
      <c r="L83" s="17"/>
      <c r="M83" s="17"/>
      <c r="N83" s="17" t="s">
        <v>212</v>
      </c>
      <c r="O83" s="36"/>
      <c r="P83" s="17"/>
      <c r="Q83" s="17"/>
      <c r="U83" t="s">
        <v>211</v>
      </c>
      <c r="V83" t="s">
        <v>211</v>
      </c>
      <c r="X83" s="31">
        <v>43952</v>
      </c>
      <c r="Y83" s="31">
        <v>43952</v>
      </c>
      <c r="AA83" s="31"/>
      <c r="AB83" t="s">
        <v>9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1</v>
      </c>
      <c r="AI83">
        <v>50036</v>
      </c>
      <c r="AJ83">
        <v>2111</v>
      </c>
      <c r="AK83">
        <v>0</v>
      </c>
      <c r="AL83">
        <v>19</v>
      </c>
      <c r="AO83" s="41"/>
      <c r="AP83" s="41"/>
      <c r="AQ83" t="str">
        <f t="shared" si="0"/>
        <v/>
      </c>
      <c r="AS83" t="str">
        <f t="shared" si="1"/>
        <v>wci_corp</v>
      </c>
    </row>
    <row r="84" spans="2:45" x14ac:dyDescent="0.2">
      <c r="B84" t="s">
        <v>193</v>
      </c>
      <c r="C84" s="31">
        <v>43951</v>
      </c>
      <c r="D84" s="15">
        <v>9407.74</v>
      </c>
      <c r="E84" s="15">
        <v>0</v>
      </c>
      <c r="F84" s="53" t="s">
        <v>134</v>
      </c>
      <c r="G84" t="s">
        <v>208</v>
      </c>
      <c r="H84" s="41" t="s">
        <v>136</v>
      </c>
      <c r="I84" t="s">
        <v>209</v>
      </c>
      <c r="J84" t="s">
        <v>138</v>
      </c>
      <c r="K84" t="s">
        <v>139</v>
      </c>
      <c r="L84" s="17"/>
      <c r="M84" s="17"/>
      <c r="N84" s="17" t="s">
        <v>212</v>
      </c>
      <c r="O84" s="36"/>
      <c r="P84" s="17"/>
      <c r="Q84" s="17"/>
      <c r="U84" t="s">
        <v>211</v>
      </c>
      <c r="V84" t="s">
        <v>211</v>
      </c>
      <c r="X84" s="31">
        <v>43952</v>
      </c>
      <c r="Y84" s="31">
        <v>43952</v>
      </c>
      <c r="AA84" s="31"/>
      <c r="AB84" t="s">
        <v>9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1</v>
      </c>
      <c r="AI84">
        <v>50036</v>
      </c>
      <c r="AJ84">
        <v>2111</v>
      </c>
      <c r="AK84">
        <v>100</v>
      </c>
      <c r="AL84">
        <v>19</v>
      </c>
      <c r="AO84" s="41"/>
      <c r="AP84" s="41"/>
      <c r="AQ84" t="str">
        <f t="shared" si="0"/>
        <v/>
      </c>
      <c r="AS84" t="str">
        <f t="shared" si="1"/>
        <v>wci_corp</v>
      </c>
    </row>
    <row r="85" spans="2:45" x14ac:dyDescent="0.2">
      <c r="B85" t="s">
        <v>194</v>
      </c>
      <c r="C85" s="31">
        <v>43951</v>
      </c>
      <c r="D85" s="15">
        <v>7011.3</v>
      </c>
      <c r="E85" s="15">
        <v>0</v>
      </c>
      <c r="F85" s="53" t="s">
        <v>134</v>
      </c>
      <c r="G85" t="s">
        <v>208</v>
      </c>
      <c r="H85" s="41" t="s">
        <v>136</v>
      </c>
      <c r="I85" t="s">
        <v>209</v>
      </c>
      <c r="J85" t="s">
        <v>138</v>
      </c>
      <c r="K85" t="s">
        <v>139</v>
      </c>
      <c r="L85" s="17"/>
      <c r="M85" s="17"/>
      <c r="N85" s="17" t="s">
        <v>212</v>
      </c>
      <c r="O85" s="36"/>
      <c r="P85" s="17"/>
      <c r="Q85" s="17"/>
      <c r="U85" t="s">
        <v>211</v>
      </c>
      <c r="V85" t="s">
        <v>211</v>
      </c>
      <c r="X85" s="31">
        <v>43952</v>
      </c>
      <c r="Y85" s="31">
        <v>43952</v>
      </c>
      <c r="AA85" s="31"/>
      <c r="AB85" t="s">
        <v>9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1</v>
      </c>
      <c r="AI85">
        <v>50036</v>
      </c>
      <c r="AJ85">
        <v>2111</v>
      </c>
      <c r="AK85">
        <v>200</v>
      </c>
      <c r="AL85">
        <v>19</v>
      </c>
      <c r="AO85" s="41"/>
      <c r="AP85" s="41"/>
      <c r="AQ85" t="str">
        <f t="shared" ref="AQ85:AQ148" si="2">IF(LEFT(U85,2)="VO",U85,"")</f>
        <v/>
      </c>
      <c r="AS85" t="str">
        <f t="shared" ref="AS85:AS148" si="3">IF(RIGHT(K85,2)="IC",IF(OR(AB85="wci_canada",AB85="wci_can_corp"),"wci_can_Corp","wci_corp"),AB85)</f>
        <v>wci_corp</v>
      </c>
    </row>
    <row r="86" spans="2:45" x14ac:dyDescent="0.2">
      <c r="B86" t="s">
        <v>195</v>
      </c>
      <c r="C86" s="31">
        <v>43951</v>
      </c>
      <c r="D86" s="15">
        <v>383.96</v>
      </c>
      <c r="E86" s="15">
        <v>0</v>
      </c>
      <c r="F86" s="53" t="s">
        <v>134</v>
      </c>
      <c r="G86" t="s">
        <v>208</v>
      </c>
      <c r="H86" s="41" t="s">
        <v>136</v>
      </c>
      <c r="I86" t="s">
        <v>209</v>
      </c>
      <c r="J86" t="s">
        <v>138</v>
      </c>
      <c r="K86" t="s">
        <v>139</v>
      </c>
      <c r="L86" s="17"/>
      <c r="M86" s="17"/>
      <c r="N86" s="17" t="s">
        <v>212</v>
      </c>
      <c r="O86" s="36"/>
      <c r="P86" s="17"/>
      <c r="Q86" s="17"/>
      <c r="U86" t="s">
        <v>211</v>
      </c>
      <c r="V86" t="s">
        <v>211</v>
      </c>
      <c r="X86" s="31">
        <v>43952</v>
      </c>
      <c r="Y86" s="31">
        <v>43952</v>
      </c>
      <c r="AA86" s="31"/>
      <c r="AB86" t="s">
        <v>9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1</v>
      </c>
      <c r="AI86">
        <v>50036</v>
      </c>
      <c r="AJ86">
        <v>2111</v>
      </c>
      <c r="AK86">
        <v>201</v>
      </c>
      <c r="AL86">
        <v>19</v>
      </c>
      <c r="AO86" s="41"/>
      <c r="AP86" s="41"/>
      <c r="AQ86" t="str">
        <f t="shared" si="2"/>
        <v/>
      </c>
      <c r="AS86" t="str">
        <f t="shared" si="3"/>
        <v>wci_corp</v>
      </c>
    </row>
    <row r="87" spans="2:45" x14ac:dyDescent="0.2">
      <c r="B87" t="s">
        <v>196</v>
      </c>
      <c r="C87" s="31">
        <v>43951</v>
      </c>
      <c r="D87" s="15">
        <v>3345.02</v>
      </c>
      <c r="E87" s="15">
        <v>0</v>
      </c>
      <c r="F87" s="53" t="s">
        <v>134</v>
      </c>
      <c r="G87" t="s">
        <v>208</v>
      </c>
      <c r="H87" s="41" t="s">
        <v>136</v>
      </c>
      <c r="I87" t="s">
        <v>209</v>
      </c>
      <c r="J87" t="s">
        <v>138</v>
      </c>
      <c r="K87" t="s">
        <v>139</v>
      </c>
      <c r="L87" s="17"/>
      <c r="M87" s="17"/>
      <c r="N87" s="17" t="s">
        <v>212</v>
      </c>
      <c r="O87" s="36"/>
      <c r="P87" s="17"/>
      <c r="Q87" s="17"/>
      <c r="U87" t="s">
        <v>211</v>
      </c>
      <c r="V87" t="s">
        <v>211</v>
      </c>
      <c r="X87" s="31">
        <v>43952</v>
      </c>
      <c r="Y87" s="31">
        <v>43952</v>
      </c>
      <c r="AA87" s="31"/>
      <c r="AB87" t="s">
        <v>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50036</v>
      </c>
      <c r="AJ87">
        <v>2111</v>
      </c>
      <c r="AK87">
        <v>210</v>
      </c>
      <c r="AL87">
        <v>19</v>
      </c>
      <c r="AO87" s="41"/>
      <c r="AP87" s="41"/>
      <c r="AQ87" t="str">
        <f t="shared" si="2"/>
        <v/>
      </c>
      <c r="AS87" t="str">
        <f t="shared" si="3"/>
        <v>wci_corp</v>
      </c>
    </row>
    <row r="88" spans="2:45" x14ac:dyDescent="0.2">
      <c r="B88" t="s">
        <v>197</v>
      </c>
      <c r="C88" s="31">
        <v>43951</v>
      </c>
      <c r="D88" s="15">
        <v>2204.6</v>
      </c>
      <c r="E88" s="15">
        <v>0</v>
      </c>
      <c r="F88" s="53" t="s">
        <v>134</v>
      </c>
      <c r="G88" t="s">
        <v>208</v>
      </c>
      <c r="H88" s="41" t="s">
        <v>136</v>
      </c>
      <c r="I88" t="s">
        <v>209</v>
      </c>
      <c r="J88" t="s">
        <v>138</v>
      </c>
      <c r="K88" t="s">
        <v>139</v>
      </c>
      <c r="L88" s="17"/>
      <c r="M88" s="17"/>
      <c r="N88" s="17" t="s">
        <v>212</v>
      </c>
      <c r="O88" s="36"/>
      <c r="P88" s="17"/>
      <c r="Q88" s="17"/>
      <c r="U88" t="s">
        <v>211</v>
      </c>
      <c r="V88" t="s">
        <v>211</v>
      </c>
      <c r="X88" s="31">
        <v>43952</v>
      </c>
      <c r="Y88" s="31">
        <v>43952</v>
      </c>
      <c r="AA88" s="31"/>
      <c r="AB88" t="s">
        <v>9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1</v>
      </c>
      <c r="AI88">
        <v>50036</v>
      </c>
      <c r="AJ88">
        <v>2111</v>
      </c>
      <c r="AK88">
        <v>300</v>
      </c>
      <c r="AL88">
        <v>19</v>
      </c>
      <c r="AO88" s="41"/>
      <c r="AP88" s="41"/>
      <c r="AQ88" t="str">
        <f t="shared" si="2"/>
        <v/>
      </c>
      <c r="AS88" t="str">
        <f t="shared" si="3"/>
        <v>wci_corp</v>
      </c>
    </row>
    <row r="89" spans="2:45" x14ac:dyDescent="0.2">
      <c r="B89" t="s">
        <v>198</v>
      </c>
      <c r="C89" s="31">
        <v>43951</v>
      </c>
      <c r="D89" s="15">
        <v>1091.1400000000001</v>
      </c>
      <c r="E89" s="15">
        <v>0</v>
      </c>
      <c r="F89" s="53" t="s">
        <v>134</v>
      </c>
      <c r="G89" t="s">
        <v>208</v>
      </c>
      <c r="H89" s="41" t="s">
        <v>136</v>
      </c>
      <c r="I89" t="s">
        <v>209</v>
      </c>
      <c r="J89" t="s">
        <v>138</v>
      </c>
      <c r="K89" t="s">
        <v>139</v>
      </c>
      <c r="L89" s="17"/>
      <c r="M89" s="17"/>
      <c r="N89" s="17" t="s">
        <v>212</v>
      </c>
      <c r="O89" s="36"/>
      <c r="P89" s="17"/>
      <c r="Q89" s="17"/>
      <c r="U89" t="s">
        <v>211</v>
      </c>
      <c r="V89" t="s">
        <v>211</v>
      </c>
      <c r="X89" s="31">
        <v>43952</v>
      </c>
      <c r="Y89" s="31">
        <v>43952</v>
      </c>
      <c r="AA89" s="31"/>
      <c r="AB89" t="s">
        <v>9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1</v>
      </c>
      <c r="AI89">
        <v>50036</v>
      </c>
      <c r="AJ89">
        <v>2111</v>
      </c>
      <c r="AK89">
        <v>500</v>
      </c>
      <c r="AL89">
        <v>19</v>
      </c>
      <c r="AO89" s="41"/>
      <c r="AP89" s="41"/>
      <c r="AQ89" t="str">
        <f t="shared" si="2"/>
        <v/>
      </c>
      <c r="AS89" t="str">
        <f t="shared" si="3"/>
        <v>wci_corp</v>
      </c>
    </row>
    <row r="90" spans="2:45" x14ac:dyDescent="0.2">
      <c r="B90" t="s">
        <v>162</v>
      </c>
      <c r="C90" s="31">
        <v>43951</v>
      </c>
      <c r="D90" s="15">
        <v>4829.8</v>
      </c>
      <c r="E90" s="15">
        <v>0</v>
      </c>
      <c r="F90" s="53" t="s">
        <v>134</v>
      </c>
      <c r="G90" t="s">
        <v>208</v>
      </c>
      <c r="H90" s="41" t="s">
        <v>136</v>
      </c>
      <c r="I90" t="s">
        <v>209</v>
      </c>
      <c r="J90" t="s">
        <v>138</v>
      </c>
      <c r="K90" t="s">
        <v>139</v>
      </c>
      <c r="L90" s="17"/>
      <c r="M90" s="17"/>
      <c r="N90" s="17" t="s">
        <v>212</v>
      </c>
      <c r="O90" s="36"/>
      <c r="P90" s="17"/>
      <c r="Q90" s="17"/>
      <c r="U90" t="s">
        <v>211</v>
      </c>
      <c r="V90" t="s">
        <v>211</v>
      </c>
      <c r="X90" s="31">
        <v>43952</v>
      </c>
      <c r="Y90" s="31">
        <v>43952</v>
      </c>
      <c r="AA90" s="31"/>
      <c r="AB90" t="s">
        <v>9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1</v>
      </c>
      <c r="AI90">
        <v>52036</v>
      </c>
      <c r="AJ90">
        <v>2111</v>
      </c>
      <c r="AK90">
        <v>0</v>
      </c>
      <c r="AL90">
        <v>19</v>
      </c>
      <c r="AO90" s="41"/>
      <c r="AP90" s="41"/>
      <c r="AQ90" t="str">
        <f t="shared" si="2"/>
        <v/>
      </c>
      <c r="AS90" t="str">
        <f t="shared" si="3"/>
        <v>wci_corp</v>
      </c>
    </row>
    <row r="91" spans="2:45" x14ac:dyDescent="0.2">
      <c r="B91" t="s">
        <v>164</v>
      </c>
      <c r="C91" s="31">
        <v>43951</v>
      </c>
      <c r="D91" s="15">
        <v>1034.18</v>
      </c>
      <c r="E91" s="15">
        <v>0</v>
      </c>
      <c r="F91" s="53" t="s">
        <v>134</v>
      </c>
      <c r="G91" t="s">
        <v>208</v>
      </c>
      <c r="H91" s="41" t="s">
        <v>136</v>
      </c>
      <c r="I91" t="s">
        <v>209</v>
      </c>
      <c r="J91" t="s">
        <v>138</v>
      </c>
      <c r="K91" t="s">
        <v>139</v>
      </c>
      <c r="L91" s="17"/>
      <c r="M91" s="17"/>
      <c r="N91" s="17" t="s">
        <v>212</v>
      </c>
      <c r="O91" s="36"/>
      <c r="P91" s="17"/>
      <c r="Q91" s="17"/>
      <c r="U91" t="s">
        <v>211</v>
      </c>
      <c r="V91" t="s">
        <v>211</v>
      </c>
      <c r="X91" s="31">
        <v>43952</v>
      </c>
      <c r="Y91" s="31">
        <v>43952</v>
      </c>
      <c r="AA91" s="31"/>
      <c r="AB91" t="s">
        <v>9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1</v>
      </c>
      <c r="AI91">
        <v>55036</v>
      </c>
      <c r="AJ91">
        <v>2111</v>
      </c>
      <c r="AK91">
        <v>0</v>
      </c>
      <c r="AL91">
        <v>19</v>
      </c>
      <c r="AO91" s="41"/>
      <c r="AP91" s="41"/>
      <c r="AQ91" t="str">
        <f t="shared" si="2"/>
        <v/>
      </c>
      <c r="AS91" t="str">
        <f t="shared" si="3"/>
        <v>wci_corp</v>
      </c>
    </row>
    <row r="92" spans="2:45" x14ac:dyDescent="0.2">
      <c r="B92" t="s">
        <v>166</v>
      </c>
      <c r="C92" s="31">
        <v>43951</v>
      </c>
      <c r="D92" s="15">
        <v>500</v>
      </c>
      <c r="E92" s="15">
        <v>0</v>
      </c>
      <c r="F92" s="53" t="s">
        <v>134</v>
      </c>
      <c r="G92" t="s">
        <v>208</v>
      </c>
      <c r="H92" s="41" t="s">
        <v>136</v>
      </c>
      <c r="I92" t="s">
        <v>209</v>
      </c>
      <c r="J92" t="s">
        <v>138</v>
      </c>
      <c r="K92" t="s">
        <v>139</v>
      </c>
      <c r="L92" s="17"/>
      <c r="M92" s="17"/>
      <c r="N92" s="17" t="s">
        <v>212</v>
      </c>
      <c r="O92" s="36"/>
      <c r="P92" s="17"/>
      <c r="Q92" s="17"/>
      <c r="U92" t="s">
        <v>211</v>
      </c>
      <c r="V92" t="s">
        <v>211</v>
      </c>
      <c r="X92" s="31">
        <v>43952</v>
      </c>
      <c r="Y92" s="31">
        <v>43952</v>
      </c>
      <c r="AA92" s="31"/>
      <c r="AB92" t="s">
        <v>9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1</v>
      </c>
      <c r="AI92">
        <v>56036</v>
      </c>
      <c r="AJ92">
        <v>2111</v>
      </c>
      <c r="AK92">
        <v>0</v>
      </c>
      <c r="AL92">
        <v>19</v>
      </c>
      <c r="AO92" s="41"/>
      <c r="AP92" s="41"/>
      <c r="AQ92" t="str">
        <f t="shared" si="2"/>
        <v/>
      </c>
      <c r="AS92" t="str">
        <f t="shared" si="3"/>
        <v>wci_corp</v>
      </c>
    </row>
    <row r="93" spans="2:45" x14ac:dyDescent="0.2">
      <c r="B93" t="s">
        <v>201</v>
      </c>
      <c r="C93" s="31">
        <v>43951</v>
      </c>
      <c r="D93" s="15">
        <v>750</v>
      </c>
      <c r="E93" s="15">
        <v>0</v>
      </c>
      <c r="F93" s="53" t="s">
        <v>134</v>
      </c>
      <c r="G93" t="s">
        <v>208</v>
      </c>
      <c r="H93" s="41" t="s">
        <v>136</v>
      </c>
      <c r="I93" t="s">
        <v>209</v>
      </c>
      <c r="J93" t="s">
        <v>138</v>
      </c>
      <c r="K93" t="s">
        <v>139</v>
      </c>
      <c r="L93" s="17"/>
      <c r="M93" s="17"/>
      <c r="N93" s="17" t="s">
        <v>212</v>
      </c>
      <c r="O93" s="36"/>
      <c r="P93" s="17"/>
      <c r="Q93" s="17"/>
      <c r="U93" t="s">
        <v>211</v>
      </c>
      <c r="V93" t="s">
        <v>211</v>
      </c>
      <c r="X93" s="31">
        <v>43952</v>
      </c>
      <c r="Y93" s="31">
        <v>43952</v>
      </c>
      <c r="AA93" s="31"/>
      <c r="AB93" t="s">
        <v>9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1</v>
      </c>
      <c r="AI93">
        <v>56036</v>
      </c>
      <c r="AJ93">
        <v>2111</v>
      </c>
      <c r="AK93">
        <v>700</v>
      </c>
      <c r="AL93">
        <v>19</v>
      </c>
      <c r="AO93" s="41"/>
      <c r="AP93" s="41"/>
      <c r="AQ93" t="str">
        <f t="shared" si="2"/>
        <v/>
      </c>
      <c r="AS93" t="str">
        <f t="shared" si="3"/>
        <v>wci_corp</v>
      </c>
    </row>
    <row r="94" spans="2:45" x14ac:dyDescent="0.2">
      <c r="B94" t="s">
        <v>168</v>
      </c>
      <c r="C94" s="31">
        <v>43951</v>
      </c>
      <c r="D94" s="15">
        <v>3846.82</v>
      </c>
      <c r="E94" s="15">
        <v>0</v>
      </c>
      <c r="F94" s="53" t="s">
        <v>134</v>
      </c>
      <c r="G94" t="s">
        <v>208</v>
      </c>
      <c r="H94" s="41" t="s">
        <v>136</v>
      </c>
      <c r="I94" t="s">
        <v>209</v>
      </c>
      <c r="J94" t="s">
        <v>138</v>
      </c>
      <c r="K94" t="s">
        <v>139</v>
      </c>
      <c r="L94" s="17"/>
      <c r="M94" s="17"/>
      <c r="N94" s="17" t="s">
        <v>212</v>
      </c>
      <c r="O94" s="36"/>
      <c r="P94" s="17"/>
      <c r="Q94" s="17"/>
      <c r="U94" t="s">
        <v>211</v>
      </c>
      <c r="V94" t="s">
        <v>211</v>
      </c>
      <c r="X94" s="31">
        <v>43952</v>
      </c>
      <c r="Y94" s="31">
        <v>43952</v>
      </c>
      <c r="AA94" s="31"/>
      <c r="AB94" t="s">
        <v>9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1</v>
      </c>
      <c r="AI94">
        <v>70036</v>
      </c>
      <c r="AJ94">
        <v>2111</v>
      </c>
      <c r="AK94">
        <v>0</v>
      </c>
      <c r="AL94">
        <v>19</v>
      </c>
      <c r="AO94" s="41"/>
      <c r="AP94" s="41"/>
      <c r="AQ94" t="str">
        <f t="shared" si="2"/>
        <v/>
      </c>
      <c r="AS94" t="str">
        <f t="shared" si="3"/>
        <v>wci_corp</v>
      </c>
    </row>
    <row r="95" spans="2:45" x14ac:dyDescent="0.2">
      <c r="B95" t="s">
        <v>168</v>
      </c>
      <c r="C95" s="31">
        <v>43951</v>
      </c>
      <c r="D95" s="15">
        <v>250</v>
      </c>
      <c r="E95" s="15">
        <v>0</v>
      </c>
      <c r="F95" s="53" t="s">
        <v>134</v>
      </c>
      <c r="G95" t="s">
        <v>208</v>
      </c>
      <c r="H95" s="41" t="s">
        <v>136</v>
      </c>
      <c r="I95" t="s">
        <v>209</v>
      </c>
      <c r="J95" t="s">
        <v>138</v>
      </c>
      <c r="K95" t="s">
        <v>139</v>
      </c>
      <c r="L95" s="17"/>
      <c r="M95" s="17"/>
      <c r="N95" s="17" t="s">
        <v>212</v>
      </c>
      <c r="O95" s="36"/>
      <c r="P95" s="17"/>
      <c r="Q95" s="17"/>
      <c r="U95" t="s">
        <v>211</v>
      </c>
      <c r="V95" t="s">
        <v>211</v>
      </c>
      <c r="X95" s="31">
        <v>43952</v>
      </c>
      <c r="Y95" s="31">
        <v>43952</v>
      </c>
      <c r="AA95" s="31"/>
      <c r="AB95" t="s">
        <v>9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1</v>
      </c>
      <c r="AI95">
        <v>70036</v>
      </c>
      <c r="AJ95">
        <v>2111</v>
      </c>
      <c r="AK95">
        <v>0</v>
      </c>
      <c r="AL95">
        <v>19</v>
      </c>
      <c r="AO95" s="41"/>
      <c r="AP95" s="41"/>
      <c r="AQ95" t="str">
        <f t="shared" si="2"/>
        <v/>
      </c>
      <c r="AS95" t="str">
        <f t="shared" si="3"/>
        <v>wci_corp</v>
      </c>
    </row>
    <row r="96" spans="2:45" x14ac:dyDescent="0.2">
      <c r="B96" t="s">
        <v>170</v>
      </c>
      <c r="C96" s="31">
        <v>43951</v>
      </c>
      <c r="D96" s="15">
        <v>411.8</v>
      </c>
      <c r="E96" s="15">
        <v>0</v>
      </c>
      <c r="F96" s="53" t="s">
        <v>134</v>
      </c>
      <c r="G96" t="s">
        <v>213</v>
      </c>
      <c r="H96" s="41" t="s">
        <v>136</v>
      </c>
      <c r="I96" t="s">
        <v>214</v>
      </c>
      <c r="J96" t="s">
        <v>205</v>
      </c>
      <c r="K96" t="s">
        <v>139</v>
      </c>
      <c r="L96" s="17"/>
      <c r="M96" s="17"/>
      <c r="N96" s="17" t="s">
        <v>174</v>
      </c>
      <c r="O96" s="36"/>
      <c r="P96" s="17"/>
      <c r="Q96" s="17"/>
      <c r="U96" t="s">
        <v>215</v>
      </c>
      <c r="V96" t="s">
        <v>215</v>
      </c>
      <c r="X96" s="31">
        <v>43955</v>
      </c>
      <c r="Y96" s="31">
        <v>43955</v>
      </c>
      <c r="AA96" s="31"/>
      <c r="AB96" t="s">
        <v>9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1</v>
      </c>
      <c r="AI96">
        <v>50086</v>
      </c>
      <c r="AJ96">
        <v>2111</v>
      </c>
      <c r="AK96">
        <v>0</v>
      </c>
      <c r="AL96">
        <v>19</v>
      </c>
      <c r="AO96" s="41"/>
      <c r="AP96" s="41"/>
      <c r="AQ96" t="str">
        <f t="shared" si="2"/>
        <v/>
      </c>
      <c r="AS96" t="str">
        <f t="shared" si="3"/>
        <v>wci_corp</v>
      </c>
    </row>
    <row r="97" spans="2:45" x14ac:dyDescent="0.2">
      <c r="B97" t="s">
        <v>170</v>
      </c>
      <c r="C97" s="31">
        <v>43951</v>
      </c>
      <c r="D97" s="15">
        <v>2213.33</v>
      </c>
      <c r="E97" s="15">
        <v>0</v>
      </c>
      <c r="F97" s="53" t="s">
        <v>134</v>
      </c>
      <c r="G97" t="s">
        <v>213</v>
      </c>
      <c r="H97" s="41" t="s">
        <v>136</v>
      </c>
      <c r="I97" t="s">
        <v>214</v>
      </c>
      <c r="J97" t="s">
        <v>205</v>
      </c>
      <c r="K97" t="s">
        <v>139</v>
      </c>
      <c r="L97" s="17"/>
      <c r="M97" s="17"/>
      <c r="N97" s="17" t="s">
        <v>216</v>
      </c>
      <c r="O97" s="36"/>
      <c r="P97" s="17"/>
      <c r="Q97" s="17"/>
      <c r="U97" t="s">
        <v>215</v>
      </c>
      <c r="V97" t="s">
        <v>215</v>
      </c>
      <c r="X97" s="31">
        <v>43955</v>
      </c>
      <c r="Y97" s="31">
        <v>43955</v>
      </c>
      <c r="AA97" s="31"/>
      <c r="AB97" t="s">
        <v>9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1</v>
      </c>
      <c r="AI97">
        <v>50086</v>
      </c>
      <c r="AJ97">
        <v>2111</v>
      </c>
      <c r="AK97">
        <v>0</v>
      </c>
      <c r="AL97">
        <v>19</v>
      </c>
      <c r="AO97" s="41"/>
      <c r="AP97" s="41"/>
      <c r="AQ97" t="str">
        <f t="shared" si="2"/>
        <v/>
      </c>
      <c r="AS97" t="str">
        <f t="shared" si="3"/>
        <v>wci_corp</v>
      </c>
    </row>
    <row r="98" spans="2:45" x14ac:dyDescent="0.2">
      <c r="B98" t="s">
        <v>148</v>
      </c>
      <c r="C98" s="31">
        <v>43951</v>
      </c>
      <c r="D98" s="15">
        <v>61.08</v>
      </c>
      <c r="E98" s="15">
        <v>0</v>
      </c>
      <c r="F98" s="53" t="s">
        <v>134</v>
      </c>
      <c r="G98" t="s">
        <v>213</v>
      </c>
      <c r="H98" s="41" t="s">
        <v>136</v>
      </c>
      <c r="I98" t="s">
        <v>214</v>
      </c>
      <c r="J98" t="s">
        <v>205</v>
      </c>
      <c r="K98" t="s">
        <v>139</v>
      </c>
      <c r="L98" s="17"/>
      <c r="M98" s="17"/>
      <c r="N98" s="17" t="s">
        <v>217</v>
      </c>
      <c r="O98" s="36"/>
      <c r="P98" s="17"/>
      <c r="Q98" s="17"/>
      <c r="U98" t="s">
        <v>215</v>
      </c>
      <c r="V98" t="s">
        <v>215</v>
      </c>
      <c r="X98" s="31">
        <v>43955</v>
      </c>
      <c r="Y98" s="31">
        <v>43955</v>
      </c>
      <c r="AA98" s="31"/>
      <c r="AB98" t="s">
        <v>9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1</v>
      </c>
      <c r="AI98">
        <v>52125</v>
      </c>
      <c r="AJ98">
        <v>2111</v>
      </c>
      <c r="AK98">
        <v>0</v>
      </c>
      <c r="AL98">
        <v>19</v>
      </c>
      <c r="AO98" s="41"/>
      <c r="AP98" s="41"/>
      <c r="AQ98" t="str">
        <f t="shared" si="2"/>
        <v/>
      </c>
      <c r="AS98" t="str">
        <f t="shared" si="3"/>
        <v>wci_corp</v>
      </c>
    </row>
    <row r="99" spans="2:45" x14ac:dyDescent="0.2">
      <c r="B99" t="s">
        <v>218</v>
      </c>
      <c r="C99" s="31">
        <v>43951</v>
      </c>
      <c r="D99" s="15">
        <v>3060.4</v>
      </c>
      <c r="E99" s="15">
        <v>0</v>
      </c>
      <c r="F99" s="53" t="s">
        <v>134</v>
      </c>
      <c r="G99" t="s">
        <v>213</v>
      </c>
      <c r="H99" s="41" t="s">
        <v>136</v>
      </c>
      <c r="I99" t="s">
        <v>214</v>
      </c>
      <c r="J99" t="s">
        <v>205</v>
      </c>
      <c r="K99" t="s">
        <v>139</v>
      </c>
      <c r="L99" s="17"/>
      <c r="M99" s="17"/>
      <c r="N99" s="17" t="s">
        <v>216</v>
      </c>
      <c r="O99" s="36"/>
      <c r="P99" s="17"/>
      <c r="Q99" s="17"/>
      <c r="U99" t="s">
        <v>215</v>
      </c>
      <c r="V99" t="s">
        <v>215</v>
      </c>
      <c r="X99" s="31">
        <v>43955</v>
      </c>
      <c r="Y99" s="31">
        <v>43955</v>
      </c>
      <c r="AA99" s="31"/>
      <c r="AB99" t="s">
        <v>9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1</v>
      </c>
      <c r="AI99">
        <v>57125</v>
      </c>
      <c r="AJ99">
        <v>2111</v>
      </c>
      <c r="AK99">
        <v>0</v>
      </c>
      <c r="AL99">
        <v>19</v>
      </c>
      <c r="AO99" s="41"/>
      <c r="AP99" s="41"/>
      <c r="AQ99" t="str">
        <f t="shared" si="2"/>
        <v/>
      </c>
      <c r="AS99" t="str">
        <f t="shared" si="3"/>
        <v>wci_corp</v>
      </c>
    </row>
    <row r="100" spans="2:45" x14ac:dyDescent="0.2">
      <c r="B100" t="s">
        <v>218</v>
      </c>
      <c r="C100" s="31">
        <v>43951</v>
      </c>
      <c r="D100" s="15">
        <v>765.1</v>
      </c>
      <c r="E100" s="15">
        <v>0</v>
      </c>
      <c r="F100" s="53" t="s">
        <v>134</v>
      </c>
      <c r="G100" t="s">
        <v>213</v>
      </c>
      <c r="H100" s="41" t="s">
        <v>136</v>
      </c>
      <c r="I100" t="s">
        <v>214</v>
      </c>
      <c r="J100" t="s">
        <v>205</v>
      </c>
      <c r="K100" t="s">
        <v>139</v>
      </c>
      <c r="L100" s="17"/>
      <c r="M100" s="17"/>
      <c r="N100" s="17" t="s">
        <v>216</v>
      </c>
      <c r="O100" s="36"/>
      <c r="P100" s="17"/>
      <c r="Q100" s="17"/>
      <c r="U100" t="s">
        <v>215</v>
      </c>
      <c r="V100" t="s">
        <v>215</v>
      </c>
      <c r="X100" s="31">
        <v>43955</v>
      </c>
      <c r="Y100" s="31">
        <v>43955</v>
      </c>
      <c r="AA100" s="31"/>
      <c r="AB100" t="s">
        <v>9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1</v>
      </c>
      <c r="AI100">
        <v>57125</v>
      </c>
      <c r="AJ100">
        <v>2111</v>
      </c>
      <c r="AK100">
        <v>0</v>
      </c>
      <c r="AL100">
        <v>19</v>
      </c>
      <c r="AO100" s="41"/>
      <c r="AP100" s="41"/>
      <c r="AQ100" t="str">
        <f t="shared" si="2"/>
        <v/>
      </c>
      <c r="AS100" t="str">
        <f t="shared" si="3"/>
        <v>wci_corp</v>
      </c>
    </row>
    <row r="101" spans="2:45" x14ac:dyDescent="0.2">
      <c r="B101" t="s">
        <v>154</v>
      </c>
      <c r="C101" s="31">
        <v>43951</v>
      </c>
      <c r="D101" s="15">
        <v>257.55</v>
      </c>
      <c r="E101" s="15">
        <v>0</v>
      </c>
      <c r="F101" s="53" t="s">
        <v>134</v>
      </c>
      <c r="G101" t="s">
        <v>219</v>
      </c>
      <c r="H101" s="41" t="s">
        <v>136</v>
      </c>
      <c r="I101" t="s">
        <v>220</v>
      </c>
      <c r="J101" t="s">
        <v>205</v>
      </c>
      <c r="K101" t="s">
        <v>139</v>
      </c>
      <c r="L101" s="17"/>
      <c r="M101" s="17"/>
      <c r="N101" s="17" t="s">
        <v>221</v>
      </c>
      <c r="O101" s="36"/>
      <c r="P101" s="17"/>
      <c r="Q101" s="17"/>
      <c r="U101" t="s">
        <v>222</v>
      </c>
      <c r="V101" t="s">
        <v>222</v>
      </c>
      <c r="X101" s="31">
        <v>43956</v>
      </c>
      <c r="Y101" s="31">
        <v>43956</v>
      </c>
      <c r="AA101" s="31"/>
      <c r="AB101" t="s">
        <v>9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1</v>
      </c>
      <c r="AI101">
        <v>70185</v>
      </c>
      <c r="AJ101">
        <v>2111</v>
      </c>
      <c r="AK101">
        <v>0</v>
      </c>
      <c r="AL101">
        <v>19</v>
      </c>
      <c r="AO101" s="41"/>
      <c r="AP101" s="41"/>
      <c r="AQ101" t="str">
        <f t="shared" si="2"/>
        <v/>
      </c>
      <c r="AS101" t="str">
        <f t="shared" si="3"/>
        <v>wci_corp</v>
      </c>
    </row>
    <row r="102" spans="2:45" x14ac:dyDescent="0.2">
      <c r="B102" t="s">
        <v>156</v>
      </c>
      <c r="C102" s="31">
        <v>43951</v>
      </c>
      <c r="D102" s="15">
        <v>23032.62</v>
      </c>
      <c r="E102" s="15">
        <v>0</v>
      </c>
      <c r="F102" s="53" t="s">
        <v>134</v>
      </c>
      <c r="G102" t="s">
        <v>223</v>
      </c>
      <c r="H102" s="41" t="s">
        <v>136</v>
      </c>
      <c r="I102" t="s">
        <v>224</v>
      </c>
      <c r="J102" t="s">
        <v>138</v>
      </c>
      <c r="K102" t="s">
        <v>139</v>
      </c>
      <c r="L102" s="17"/>
      <c r="M102" s="17"/>
      <c r="N102" s="17" t="s">
        <v>225</v>
      </c>
      <c r="O102" s="36"/>
      <c r="P102" s="17"/>
      <c r="Q102" s="17"/>
      <c r="U102" t="s">
        <v>226</v>
      </c>
      <c r="V102" t="s">
        <v>226</v>
      </c>
      <c r="X102" s="31">
        <v>43957</v>
      </c>
      <c r="Y102" s="31">
        <v>43957</v>
      </c>
      <c r="AA102" s="31"/>
      <c r="AB102" t="s">
        <v>9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1</v>
      </c>
      <c r="AI102">
        <v>50036</v>
      </c>
      <c r="AJ102">
        <v>2111</v>
      </c>
      <c r="AK102">
        <v>0</v>
      </c>
      <c r="AL102">
        <v>19</v>
      </c>
      <c r="AO102" s="41"/>
      <c r="AP102" s="41"/>
      <c r="AQ102" t="str">
        <f t="shared" si="2"/>
        <v/>
      </c>
      <c r="AS102" t="str">
        <f t="shared" si="3"/>
        <v>wci_corp</v>
      </c>
    </row>
    <row r="103" spans="2:45" x14ac:dyDescent="0.2">
      <c r="B103" t="s">
        <v>161</v>
      </c>
      <c r="C103" s="31">
        <v>43951</v>
      </c>
      <c r="D103" s="15">
        <v>1762</v>
      </c>
      <c r="E103" s="15">
        <v>0</v>
      </c>
      <c r="F103" s="53" t="s">
        <v>134</v>
      </c>
      <c r="G103" t="s">
        <v>223</v>
      </c>
      <c r="H103" s="41" t="s">
        <v>136</v>
      </c>
      <c r="I103" t="s">
        <v>224</v>
      </c>
      <c r="J103" t="s">
        <v>138</v>
      </c>
      <c r="K103" t="s">
        <v>139</v>
      </c>
      <c r="L103" s="17"/>
      <c r="M103" s="17"/>
      <c r="N103" s="17" t="s">
        <v>225</v>
      </c>
      <c r="O103" s="36"/>
      <c r="P103" s="17"/>
      <c r="Q103" s="17"/>
      <c r="U103" t="s">
        <v>226</v>
      </c>
      <c r="V103" t="s">
        <v>226</v>
      </c>
      <c r="X103" s="31">
        <v>43957</v>
      </c>
      <c r="Y103" s="31">
        <v>43957</v>
      </c>
      <c r="AA103" s="31"/>
      <c r="AB103" t="s">
        <v>9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1</v>
      </c>
      <c r="AI103">
        <v>50050</v>
      </c>
      <c r="AJ103">
        <v>2111</v>
      </c>
      <c r="AK103">
        <v>0</v>
      </c>
      <c r="AL103">
        <v>19</v>
      </c>
      <c r="AO103" s="41"/>
      <c r="AP103" s="41"/>
      <c r="AQ103" t="str">
        <f t="shared" si="2"/>
        <v/>
      </c>
      <c r="AS103" t="str">
        <f t="shared" si="3"/>
        <v>wci_corp</v>
      </c>
    </row>
    <row r="104" spans="2:45" x14ac:dyDescent="0.2">
      <c r="B104" t="s">
        <v>162</v>
      </c>
      <c r="C104" s="31">
        <v>43951</v>
      </c>
      <c r="D104" s="15">
        <v>3977.54</v>
      </c>
      <c r="E104" s="15">
        <v>0</v>
      </c>
      <c r="F104" s="53" t="s">
        <v>134</v>
      </c>
      <c r="G104" t="s">
        <v>223</v>
      </c>
      <c r="H104" s="41" t="s">
        <v>136</v>
      </c>
      <c r="I104" t="s">
        <v>224</v>
      </c>
      <c r="J104" t="s">
        <v>138</v>
      </c>
      <c r="K104" t="s">
        <v>139</v>
      </c>
      <c r="L104" s="17"/>
      <c r="M104" s="17"/>
      <c r="N104" s="17" t="s">
        <v>225</v>
      </c>
      <c r="O104" s="36"/>
      <c r="P104" s="17"/>
      <c r="Q104" s="17"/>
      <c r="U104" t="s">
        <v>226</v>
      </c>
      <c r="V104" t="s">
        <v>226</v>
      </c>
      <c r="X104" s="31">
        <v>43957</v>
      </c>
      <c r="Y104" s="31">
        <v>43957</v>
      </c>
      <c r="AA104" s="31"/>
      <c r="AB104" t="s">
        <v>9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1</v>
      </c>
      <c r="AI104">
        <v>52036</v>
      </c>
      <c r="AJ104">
        <v>2111</v>
      </c>
      <c r="AK104">
        <v>0</v>
      </c>
      <c r="AL104">
        <v>19</v>
      </c>
      <c r="AO104" s="41"/>
      <c r="AP104" s="41"/>
      <c r="AQ104" t="str">
        <f t="shared" si="2"/>
        <v/>
      </c>
      <c r="AS104" t="str">
        <f t="shared" si="3"/>
        <v>wci_corp</v>
      </c>
    </row>
    <row r="105" spans="2:45" x14ac:dyDescent="0.2">
      <c r="B105" t="s">
        <v>163</v>
      </c>
      <c r="C105" s="31">
        <v>43951</v>
      </c>
      <c r="D105" s="15">
        <v>304.27999999999997</v>
      </c>
      <c r="E105" s="15">
        <v>0</v>
      </c>
      <c r="F105" s="53" t="s">
        <v>134</v>
      </c>
      <c r="G105" t="s">
        <v>223</v>
      </c>
      <c r="H105" s="41" t="s">
        <v>136</v>
      </c>
      <c r="I105" t="s">
        <v>224</v>
      </c>
      <c r="J105" t="s">
        <v>138</v>
      </c>
      <c r="K105" t="s">
        <v>139</v>
      </c>
      <c r="L105" s="17"/>
      <c r="M105" s="17"/>
      <c r="N105" s="17" t="s">
        <v>225</v>
      </c>
      <c r="O105" s="36"/>
      <c r="P105" s="17"/>
      <c r="Q105" s="17"/>
      <c r="U105" t="s">
        <v>226</v>
      </c>
      <c r="V105" t="s">
        <v>226</v>
      </c>
      <c r="X105" s="31">
        <v>43957</v>
      </c>
      <c r="Y105" s="31">
        <v>43957</v>
      </c>
      <c r="AA105" s="31"/>
      <c r="AB105" t="s">
        <v>9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1</v>
      </c>
      <c r="AI105">
        <v>52050</v>
      </c>
      <c r="AJ105">
        <v>2111</v>
      </c>
      <c r="AK105">
        <v>0</v>
      </c>
      <c r="AL105">
        <v>19</v>
      </c>
      <c r="AO105" s="41"/>
      <c r="AP105" s="41"/>
      <c r="AQ105" t="str">
        <f t="shared" si="2"/>
        <v/>
      </c>
      <c r="AS105" t="str">
        <f t="shared" si="3"/>
        <v>wci_corp</v>
      </c>
    </row>
    <row r="106" spans="2:45" x14ac:dyDescent="0.2">
      <c r="B106" t="s">
        <v>164</v>
      </c>
      <c r="C106" s="31">
        <v>43951</v>
      </c>
      <c r="D106" s="15">
        <v>1042.1199999999999</v>
      </c>
      <c r="E106" s="15">
        <v>0</v>
      </c>
      <c r="F106" s="53" t="s">
        <v>134</v>
      </c>
      <c r="G106" t="s">
        <v>223</v>
      </c>
      <c r="H106" s="41" t="s">
        <v>136</v>
      </c>
      <c r="I106" t="s">
        <v>224</v>
      </c>
      <c r="J106" t="s">
        <v>138</v>
      </c>
      <c r="K106" t="s">
        <v>139</v>
      </c>
      <c r="L106" s="17"/>
      <c r="M106" s="17"/>
      <c r="N106" s="17" t="s">
        <v>225</v>
      </c>
      <c r="O106" s="36"/>
      <c r="P106" s="17"/>
      <c r="Q106" s="17"/>
      <c r="U106" t="s">
        <v>226</v>
      </c>
      <c r="V106" t="s">
        <v>226</v>
      </c>
      <c r="X106" s="31">
        <v>43957</v>
      </c>
      <c r="Y106" s="31">
        <v>43957</v>
      </c>
      <c r="AA106" s="31"/>
      <c r="AB106" t="s">
        <v>9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1</v>
      </c>
      <c r="AI106">
        <v>55036</v>
      </c>
      <c r="AJ106">
        <v>2111</v>
      </c>
      <c r="AK106">
        <v>0</v>
      </c>
      <c r="AL106">
        <v>19</v>
      </c>
      <c r="AO106" s="41"/>
      <c r="AP106" s="41"/>
      <c r="AQ106" t="str">
        <f t="shared" si="2"/>
        <v/>
      </c>
      <c r="AS106" t="str">
        <f t="shared" si="3"/>
        <v>wci_corp</v>
      </c>
    </row>
    <row r="107" spans="2:45" x14ac:dyDescent="0.2">
      <c r="B107" t="s">
        <v>165</v>
      </c>
      <c r="C107" s="31">
        <v>43951</v>
      </c>
      <c r="D107" s="15">
        <v>79.72</v>
      </c>
      <c r="E107" s="15">
        <v>0</v>
      </c>
      <c r="F107" s="53" t="s">
        <v>134</v>
      </c>
      <c r="G107" t="s">
        <v>223</v>
      </c>
      <c r="H107" s="41" t="s">
        <v>136</v>
      </c>
      <c r="I107" t="s">
        <v>224</v>
      </c>
      <c r="J107" t="s">
        <v>138</v>
      </c>
      <c r="K107" t="s">
        <v>139</v>
      </c>
      <c r="L107" s="17"/>
      <c r="M107" s="17"/>
      <c r="N107" s="17" t="s">
        <v>225</v>
      </c>
      <c r="O107" s="36"/>
      <c r="P107" s="17"/>
      <c r="Q107" s="17"/>
      <c r="U107" t="s">
        <v>226</v>
      </c>
      <c r="V107" t="s">
        <v>226</v>
      </c>
      <c r="X107" s="31">
        <v>43957</v>
      </c>
      <c r="Y107" s="31">
        <v>43957</v>
      </c>
      <c r="AA107" s="31"/>
      <c r="AB107" t="s">
        <v>9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1</v>
      </c>
      <c r="AI107">
        <v>55050</v>
      </c>
      <c r="AJ107">
        <v>2111</v>
      </c>
      <c r="AK107">
        <v>0</v>
      </c>
      <c r="AL107">
        <v>19</v>
      </c>
      <c r="AO107" s="41"/>
      <c r="AP107" s="41"/>
      <c r="AQ107" t="str">
        <f t="shared" si="2"/>
        <v/>
      </c>
      <c r="AS107" t="str">
        <f t="shared" si="3"/>
        <v>wci_corp</v>
      </c>
    </row>
    <row r="108" spans="2:45" x14ac:dyDescent="0.2">
      <c r="B108" t="s">
        <v>166</v>
      </c>
      <c r="C108" s="31">
        <v>43951</v>
      </c>
      <c r="D108" s="15">
        <v>1350</v>
      </c>
      <c r="E108" s="15">
        <v>0</v>
      </c>
      <c r="F108" s="53" t="s">
        <v>134</v>
      </c>
      <c r="G108" t="s">
        <v>223</v>
      </c>
      <c r="H108" s="41" t="s">
        <v>136</v>
      </c>
      <c r="I108" t="s">
        <v>224</v>
      </c>
      <c r="J108" t="s">
        <v>138</v>
      </c>
      <c r="K108" t="s">
        <v>139</v>
      </c>
      <c r="L108" s="17"/>
      <c r="M108" s="17"/>
      <c r="N108" s="17" t="s">
        <v>225</v>
      </c>
      <c r="O108" s="36"/>
      <c r="P108" s="17"/>
      <c r="Q108" s="17"/>
      <c r="U108" t="s">
        <v>226</v>
      </c>
      <c r="V108" t="s">
        <v>226</v>
      </c>
      <c r="X108" s="31">
        <v>43957</v>
      </c>
      <c r="Y108" s="31">
        <v>43957</v>
      </c>
      <c r="AA108" s="31"/>
      <c r="AB108" t="s">
        <v>9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1</v>
      </c>
      <c r="AI108">
        <v>56036</v>
      </c>
      <c r="AJ108">
        <v>2111</v>
      </c>
      <c r="AK108">
        <v>0</v>
      </c>
      <c r="AL108">
        <v>19</v>
      </c>
      <c r="AO108" s="41"/>
      <c r="AP108" s="41"/>
      <c r="AQ108" t="str">
        <f t="shared" si="2"/>
        <v/>
      </c>
      <c r="AS108" t="str">
        <f t="shared" si="3"/>
        <v>wci_corp</v>
      </c>
    </row>
    <row r="109" spans="2:45" x14ac:dyDescent="0.2">
      <c r="B109" t="s">
        <v>167</v>
      </c>
      <c r="C109" s="31">
        <v>43951</v>
      </c>
      <c r="D109" s="15">
        <v>103.28</v>
      </c>
      <c r="E109" s="15">
        <v>0</v>
      </c>
      <c r="F109" s="53" t="s">
        <v>134</v>
      </c>
      <c r="G109" t="s">
        <v>223</v>
      </c>
      <c r="H109" s="41" t="s">
        <v>136</v>
      </c>
      <c r="I109" t="s">
        <v>224</v>
      </c>
      <c r="J109" t="s">
        <v>138</v>
      </c>
      <c r="K109" t="s">
        <v>139</v>
      </c>
      <c r="L109" s="17"/>
      <c r="M109" s="17"/>
      <c r="N109" s="17" t="s">
        <v>225</v>
      </c>
      <c r="O109" s="36"/>
      <c r="P109" s="17"/>
      <c r="Q109" s="17"/>
      <c r="U109" t="s">
        <v>226</v>
      </c>
      <c r="V109" t="s">
        <v>226</v>
      </c>
      <c r="X109" s="31">
        <v>43957</v>
      </c>
      <c r="Y109" s="31">
        <v>43957</v>
      </c>
      <c r="AA109" s="31"/>
      <c r="AB109" t="s">
        <v>9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1</v>
      </c>
      <c r="AI109">
        <v>56050</v>
      </c>
      <c r="AJ109">
        <v>2111</v>
      </c>
      <c r="AK109">
        <v>0</v>
      </c>
      <c r="AL109">
        <v>19</v>
      </c>
      <c r="AO109" s="41"/>
      <c r="AP109" s="41"/>
      <c r="AQ109" t="str">
        <f t="shared" si="2"/>
        <v/>
      </c>
      <c r="AS109" t="str">
        <f t="shared" si="3"/>
        <v>wci_corp</v>
      </c>
    </row>
    <row r="110" spans="2:45" x14ac:dyDescent="0.2">
      <c r="B110" t="s">
        <v>168</v>
      </c>
      <c r="C110" s="31">
        <v>43951</v>
      </c>
      <c r="D110" s="15">
        <v>3826.56</v>
      </c>
      <c r="E110" s="15">
        <v>0</v>
      </c>
      <c r="F110" s="53" t="s">
        <v>134</v>
      </c>
      <c r="G110" t="s">
        <v>223</v>
      </c>
      <c r="H110" s="41" t="s">
        <v>136</v>
      </c>
      <c r="I110" t="s">
        <v>224</v>
      </c>
      <c r="J110" t="s">
        <v>138</v>
      </c>
      <c r="K110" t="s">
        <v>139</v>
      </c>
      <c r="L110" s="17"/>
      <c r="M110" s="17"/>
      <c r="N110" s="17" t="s">
        <v>225</v>
      </c>
      <c r="O110" s="36"/>
      <c r="P110" s="17"/>
      <c r="Q110" s="17"/>
      <c r="U110" t="s">
        <v>226</v>
      </c>
      <c r="V110" t="s">
        <v>226</v>
      </c>
      <c r="X110" s="31">
        <v>43957</v>
      </c>
      <c r="Y110" s="31">
        <v>43957</v>
      </c>
      <c r="AA110" s="31"/>
      <c r="AB110" t="s">
        <v>9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1</v>
      </c>
      <c r="AI110">
        <v>70036</v>
      </c>
      <c r="AJ110">
        <v>2111</v>
      </c>
      <c r="AK110">
        <v>0</v>
      </c>
      <c r="AL110">
        <v>19</v>
      </c>
      <c r="AO110" s="41"/>
      <c r="AP110" s="41"/>
      <c r="AQ110" t="str">
        <f t="shared" si="2"/>
        <v/>
      </c>
      <c r="AS110" t="str">
        <f t="shared" si="3"/>
        <v>wci_corp</v>
      </c>
    </row>
    <row r="111" spans="2:45" x14ac:dyDescent="0.2">
      <c r="B111" t="s">
        <v>169</v>
      </c>
      <c r="C111" s="31">
        <v>43951</v>
      </c>
      <c r="D111" s="15">
        <v>292.73</v>
      </c>
      <c r="E111" s="15">
        <v>0</v>
      </c>
      <c r="F111" s="53" t="s">
        <v>134</v>
      </c>
      <c r="G111" t="s">
        <v>223</v>
      </c>
      <c r="H111" s="41" t="s">
        <v>136</v>
      </c>
      <c r="I111" t="s">
        <v>224</v>
      </c>
      <c r="J111" t="s">
        <v>138</v>
      </c>
      <c r="K111" t="s">
        <v>139</v>
      </c>
      <c r="L111" s="17"/>
      <c r="M111" s="17"/>
      <c r="N111" s="17" t="s">
        <v>225</v>
      </c>
      <c r="O111" s="36"/>
      <c r="P111" s="17"/>
      <c r="Q111" s="17"/>
      <c r="U111" t="s">
        <v>226</v>
      </c>
      <c r="V111" t="s">
        <v>226</v>
      </c>
      <c r="X111" s="31">
        <v>43957</v>
      </c>
      <c r="Y111" s="31">
        <v>43957</v>
      </c>
      <c r="AA111" s="31"/>
      <c r="AB111" t="s">
        <v>9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1</v>
      </c>
      <c r="AI111">
        <v>70050</v>
      </c>
      <c r="AJ111">
        <v>2111</v>
      </c>
      <c r="AK111">
        <v>0</v>
      </c>
      <c r="AL111">
        <v>19</v>
      </c>
      <c r="AO111" s="41"/>
      <c r="AP111" s="41"/>
      <c r="AQ111" t="str">
        <f t="shared" si="2"/>
        <v/>
      </c>
      <c r="AS111" t="str">
        <f t="shared" si="3"/>
        <v>wci_corp</v>
      </c>
    </row>
    <row r="112" spans="2:45" x14ac:dyDescent="0.2">
      <c r="B112" t="s">
        <v>170</v>
      </c>
      <c r="C112" s="31">
        <v>43951</v>
      </c>
      <c r="D112" s="15">
        <v>350.36</v>
      </c>
      <c r="E112" s="15">
        <v>0</v>
      </c>
      <c r="F112" s="53" t="s">
        <v>134</v>
      </c>
      <c r="G112" t="s">
        <v>227</v>
      </c>
      <c r="H112" s="41" t="s">
        <v>136</v>
      </c>
      <c r="I112" t="s">
        <v>228</v>
      </c>
      <c r="J112" t="s">
        <v>138</v>
      </c>
      <c r="K112" t="s">
        <v>139</v>
      </c>
      <c r="L112" s="17"/>
      <c r="M112" s="17"/>
      <c r="N112" s="17" t="s">
        <v>228</v>
      </c>
      <c r="O112" s="36"/>
      <c r="P112" s="17"/>
      <c r="Q112" s="17"/>
      <c r="U112" t="s">
        <v>229</v>
      </c>
      <c r="V112" t="s">
        <v>229</v>
      </c>
      <c r="X112" s="31">
        <v>43957</v>
      </c>
      <c r="Y112" s="31">
        <v>43957</v>
      </c>
      <c r="AA112" s="31"/>
      <c r="AB112" t="s">
        <v>9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1</v>
      </c>
      <c r="AI112">
        <v>50086</v>
      </c>
      <c r="AJ112">
        <v>2111</v>
      </c>
      <c r="AK112">
        <v>0</v>
      </c>
      <c r="AL112">
        <v>19</v>
      </c>
      <c r="AO112" s="41"/>
      <c r="AP112" s="41"/>
      <c r="AQ112" t="str">
        <f t="shared" si="2"/>
        <v/>
      </c>
      <c r="AS112" t="str">
        <f t="shared" si="3"/>
        <v>wci_corp</v>
      </c>
    </row>
    <row r="113" spans="2:45" x14ac:dyDescent="0.2">
      <c r="B113" t="s">
        <v>170</v>
      </c>
      <c r="C113" s="31">
        <v>43951</v>
      </c>
      <c r="D113" s="15">
        <v>-2213.33</v>
      </c>
      <c r="E113" s="15">
        <v>0</v>
      </c>
      <c r="F113" s="53" t="s">
        <v>134</v>
      </c>
      <c r="G113" t="s">
        <v>227</v>
      </c>
      <c r="H113" s="41" t="s">
        <v>136</v>
      </c>
      <c r="I113" t="s">
        <v>228</v>
      </c>
      <c r="J113" t="s">
        <v>138</v>
      </c>
      <c r="K113" t="s">
        <v>139</v>
      </c>
      <c r="L113" s="17"/>
      <c r="M113" s="17"/>
      <c r="N113" s="17" t="s">
        <v>228</v>
      </c>
      <c r="O113" s="36"/>
      <c r="P113" s="17"/>
      <c r="Q113" s="17"/>
      <c r="U113" t="s">
        <v>229</v>
      </c>
      <c r="V113" t="s">
        <v>229</v>
      </c>
      <c r="X113" s="31">
        <v>43957</v>
      </c>
      <c r="Y113" s="31">
        <v>43957</v>
      </c>
      <c r="AA113" s="31"/>
      <c r="AB113" t="s">
        <v>9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1</v>
      </c>
      <c r="AI113">
        <v>50086</v>
      </c>
      <c r="AJ113">
        <v>2111</v>
      </c>
      <c r="AK113">
        <v>0</v>
      </c>
      <c r="AL113">
        <v>19</v>
      </c>
      <c r="AO113" s="41"/>
      <c r="AP113" s="41"/>
      <c r="AQ113" t="str">
        <f t="shared" si="2"/>
        <v/>
      </c>
      <c r="AS113" t="str">
        <f t="shared" si="3"/>
        <v>wci_corp</v>
      </c>
    </row>
    <row r="114" spans="2:45" x14ac:dyDescent="0.2">
      <c r="B114" t="s">
        <v>218</v>
      </c>
      <c r="C114" s="31">
        <v>43951</v>
      </c>
      <c r="D114" s="15">
        <v>605.57000000000005</v>
      </c>
      <c r="E114" s="15">
        <v>0</v>
      </c>
      <c r="F114" s="53" t="s">
        <v>134</v>
      </c>
      <c r="G114" t="s">
        <v>227</v>
      </c>
      <c r="H114" s="41" t="s">
        <v>136</v>
      </c>
      <c r="I114" t="s">
        <v>228</v>
      </c>
      <c r="J114" t="s">
        <v>138</v>
      </c>
      <c r="K114" t="s">
        <v>139</v>
      </c>
      <c r="L114" s="17"/>
      <c r="M114" s="17"/>
      <c r="N114" s="17" t="s">
        <v>228</v>
      </c>
      <c r="O114" s="36"/>
      <c r="P114" s="17"/>
      <c r="Q114" s="17"/>
      <c r="U114" t="s">
        <v>229</v>
      </c>
      <c r="V114" t="s">
        <v>229</v>
      </c>
      <c r="X114" s="31">
        <v>43957</v>
      </c>
      <c r="Y114" s="31">
        <v>43957</v>
      </c>
      <c r="AA114" s="31"/>
      <c r="AB114" t="s">
        <v>9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1</v>
      </c>
      <c r="AI114">
        <v>57125</v>
      </c>
      <c r="AJ114">
        <v>2111</v>
      </c>
      <c r="AK114">
        <v>0</v>
      </c>
      <c r="AL114">
        <v>19</v>
      </c>
      <c r="AO114" s="41"/>
      <c r="AP114" s="41"/>
      <c r="AQ114" t="str">
        <f t="shared" si="2"/>
        <v/>
      </c>
      <c r="AS114" t="str">
        <f t="shared" si="3"/>
        <v>wci_corp</v>
      </c>
    </row>
    <row r="115" spans="2:45" x14ac:dyDescent="0.2">
      <c r="B115" t="s">
        <v>218</v>
      </c>
      <c r="C115" s="31">
        <v>43951</v>
      </c>
      <c r="D115" s="15">
        <v>-3825.48</v>
      </c>
      <c r="E115" s="15">
        <v>0</v>
      </c>
      <c r="F115" s="53" t="s">
        <v>134</v>
      </c>
      <c r="G115" t="s">
        <v>227</v>
      </c>
      <c r="H115" s="41" t="s">
        <v>136</v>
      </c>
      <c r="I115" t="s">
        <v>228</v>
      </c>
      <c r="J115" t="s">
        <v>138</v>
      </c>
      <c r="K115" t="s">
        <v>139</v>
      </c>
      <c r="L115" s="17"/>
      <c r="M115" s="17"/>
      <c r="N115" s="17" t="s">
        <v>228</v>
      </c>
      <c r="O115" s="36"/>
      <c r="P115" s="17"/>
      <c r="Q115" s="17"/>
      <c r="U115" t="s">
        <v>229</v>
      </c>
      <c r="V115" t="s">
        <v>229</v>
      </c>
      <c r="X115" s="31">
        <v>43957</v>
      </c>
      <c r="Y115" s="31">
        <v>43957</v>
      </c>
      <c r="AA115" s="31"/>
      <c r="AB115" t="s">
        <v>9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1</v>
      </c>
      <c r="AI115">
        <v>57125</v>
      </c>
      <c r="AJ115">
        <v>2111</v>
      </c>
      <c r="AK115">
        <v>0</v>
      </c>
      <c r="AL115">
        <v>19</v>
      </c>
      <c r="AO115" s="41"/>
      <c r="AP115" s="41"/>
      <c r="AQ115" t="str">
        <f t="shared" si="2"/>
        <v/>
      </c>
      <c r="AS115" t="str">
        <f t="shared" si="3"/>
        <v>wci_corp</v>
      </c>
    </row>
    <row r="116" spans="2:45" x14ac:dyDescent="0.2">
      <c r="B116" t="s">
        <v>170</v>
      </c>
      <c r="C116" s="31">
        <v>43951</v>
      </c>
      <c r="D116" s="15">
        <v>336.02</v>
      </c>
      <c r="E116" s="15">
        <v>0</v>
      </c>
      <c r="F116" s="53" t="s">
        <v>134</v>
      </c>
      <c r="G116" t="s">
        <v>230</v>
      </c>
      <c r="H116" s="41" t="s">
        <v>136</v>
      </c>
      <c r="I116" t="s">
        <v>231</v>
      </c>
      <c r="J116" t="s">
        <v>138</v>
      </c>
      <c r="K116" t="s">
        <v>139</v>
      </c>
      <c r="L116" s="17"/>
      <c r="M116" s="17"/>
      <c r="N116" s="17" t="s">
        <v>232</v>
      </c>
      <c r="O116" s="36"/>
      <c r="P116" s="17"/>
      <c r="Q116" s="17"/>
      <c r="U116" t="s">
        <v>233</v>
      </c>
      <c r="V116" t="s">
        <v>233</v>
      </c>
      <c r="X116" s="31">
        <v>43957</v>
      </c>
      <c r="Y116" s="31">
        <v>43957</v>
      </c>
      <c r="AA116" s="31"/>
      <c r="AB116" t="s">
        <v>9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1</v>
      </c>
      <c r="AI116">
        <v>50086</v>
      </c>
      <c r="AJ116">
        <v>2111</v>
      </c>
      <c r="AK116">
        <v>0</v>
      </c>
      <c r="AL116">
        <v>19</v>
      </c>
      <c r="AO116" s="41"/>
      <c r="AP116" s="41"/>
      <c r="AQ116" t="str">
        <f t="shared" si="2"/>
        <v/>
      </c>
      <c r="AS116" t="str">
        <f t="shared" si="3"/>
        <v>wci_corp</v>
      </c>
    </row>
    <row r="117" spans="2:45" x14ac:dyDescent="0.2">
      <c r="B117" t="s">
        <v>234</v>
      </c>
      <c r="C117" s="31">
        <v>43951</v>
      </c>
      <c r="D117" s="15">
        <v>123.09</v>
      </c>
      <c r="E117" s="15">
        <v>0</v>
      </c>
      <c r="F117" s="53" t="s">
        <v>134</v>
      </c>
      <c r="G117" t="s">
        <v>230</v>
      </c>
      <c r="H117" s="41" t="s">
        <v>136</v>
      </c>
      <c r="I117" t="s">
        <v>231</v>
      </c>
      <c r="J117" t="s">
        <v>138</v>
      </c>
      <c r="K117" t="s">
        <v>139</v>
      </c>
      <c r="L117" s="17"/>
      <c r="M117" s="17"/>
      <c r="N117" s="17" t="s">
        <v>178</v>
      </c>
      <c r="O117" s="36"/>
      <c r="P117" s="17"/>
      <c r="Q117" s="17"/>
      <c r="U117" t="s">
        <v>233</v>
      </c>
      <c r="V117" t="s">
        <v>233</v>
      </c>
      <c r="X117" s="31">
        <v>43957</v>
      </c>
      <c r="Y117" s="31">
        <v>43957</v>
      </c>
      <c r="AA117" s="31"/>
      <c r="AB117" t="s">
        <v>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1</v>
      </c>
      <c r="AI117">
        <v>52086</v>
      </c>
      <c r="AJ117">
        <v>2111</v>
      </c>
      <c r="AK117">
        <v>0</v>
      </c>
      <c r="AL117">
        <v>19</v>
      </c>
      <c r="AO117" s="41"/>
      <c r="AP117" s="41"/>
      <c r="AQ117" t="str">
        <f t="shared" si="2"/>
        <v/>
      </c>
      <c r="AS117" t="str">
        <f t="shared" si="3"/>
        <v>wci_corp</v>
      </c>
    </row>
    <row r="118" spans="2:45" x14ac:dyDescent="0.2">
      <c r="B118" t="s">
        <v>148</v>
      </c>
      <c r="C118" s="31">
        <v>43951</v>
      </c>
      <c r="D118" s="15">
        <v>-1166.8</v>
      </c>
      <c r="E118" s="15">
        <v>0</v>
      </c>
      <c r="F118" s="53" t="s">
        <v>134</v>
      </c>
      <c r="G118" t="s">
        <v>230</v>
      </c>
      <c r="H118" s="41" t="s">
        <v>136</v>
      </c>
      <c r="I118" t="s">
        <v>231</v>
      </c>
      <c r="J118" t="s">
        <v>138</v>
      </c>
      <c r="K118" t="s">
        <v>139</v>
      </c>
      <c r="L118" s="17"/>
      <c r="M118" s="17"/>
      <c r="N118" s="17" t="s">
        <v>178</v>
      </c>
      <c r="O118" s="36"/>
      <c r="P118" s="17"/>
      <c r="Q118" s="17"/>
      <c r="U118" t="s">
        <v>233</v>
      </c>
      <c r="V118" t="s">
        <v>233</v>
      </c>
      <c r="X118" s="31">
        <v>43957</v>
      </c>
      <c r="Y118" s="31">
        <v>43957</v>
      </c>
      <c r="AA118" s="31"/>
      <c r="AB118" t="s">
        <v>9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1</v>
      </c>
      <c r="AI118">
        <v>52125</v>
      </c>
      <c r="AJ118">
        <v>2111</v>
      </c>
      <c r="AK118">
        <v>0</v>
      </c>
      <c r="AL118">
        <v>19</v>
      </c>
      <c r="AO118" s="41"/>
      <c r="AP118" s="41"/>
      <c r="AQ118" t="str">
        <f t="shared" si="2"/>
        <v/>
      </c>
      <c r="AS118" t="str">
        <f t="shared" si="3"/>
        <v>wci_corp</v>
      </c>
    </row>
    <row r="119" spans="2:45" x14ac:dyDescent="0.2">
      <c r="B119" t="s">
        <v>235</v>
      </c>
      <c r="C119" s="31">
        <v>43971</v>
      </c>
      <c r="D119" s="15">
        <v>2606.2600000000002</v>
      </c>
      <c r="E119" s="15">
        <v>0</v>
      </c>
      <c r="F119" s="53" t="s">
        <v>134</v>
      </c>
      <c r="G119" t="s">
        <v>236</v>
      </c>
      <c r="H119" s="41" t="s">
        <v>136</v>
      </c>
      <c r="I119" t="s">
        <v>237</v>
      </c>
      <c r="J119" t="s">
        <v>238</v>
      </c>
      <c r="K119" t="s">
        <v>139</v>
      </c>
      <c r="L119" s="17" t="s">
        <v>239</v>
      </c>
      <c r="M119" s="17"/>
      <c r="N119" s="17" t="s">
        <v>240</v>
      </c>
      <c r="O119" s="36">
        <v>43921</v>
      </c>
      <c r="P119" s="17" t="s">
        <v>241</v>
      </c>
      <c r="Q119" s="17">
        <v>4709</v>
      </c>
      <c r="R119" t="s">
        <v>242</v>
      </c>
      <c r="U119" t="s">
        <v>243</v>
      </c>
      <c r="V119" t="s">
        <v>244</v>
      </c>
      <c r="W119">
        <v>2111</v>
      </c>
      <c r="X119" s="31">
        <v>43971</v>
      </c>
      <c r="Y119" s="31">
        <v>43973</v>
      </c>
      <c r="Z119">
        <v>235646</v>
      </c>
      <c r="AA119" s="31">
        <v>43951</v>
      </c>
      <c r="AB119" t="s">
        <v>9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1</v>
      </c>
      <c r="AI119">
        <v>52165</v>
      </c>
      <c r="AJ119">
        <v>2111</v>
      </c>
      <c r="AK119">
        <v>0</v>
      </c>
      <c r="AL119">
        <v>19</v>
      </c>
      <c r="AO119" s="41"/>
      <c r="AP119" s="41"/>
      <c r="AQ119" t="str">
        <f t="shared" si="2"/>
        <v>VO05415519</v>
      </c>
      <c r="AS119" t="str">
        <f t="shared" si="3"/>
        <v>wci_corp</v>
      </c>
    </row>
    <row r="120" spans="2:45" x14ac:dyDescent="0.2">
      <c r="B120" t="s">
        <v>156</v>
      </c>
      <c r="C120" s="31">
        <v>43982</v>
      </c>
      <c r="D120" s="15">
        <v>-23032.62</v>
      </c>
      <c r="E120" s="15">
        <v>0</v>
      </c>
      <c r="F120" s="53" t="s">
        <v>134</v>
      </c>
      <c r="G120" t="s">
        <v>245</v>
      </c>
      <c r="H120" s="41" t="s">
        <v>136</v>
      </c>
      <c r="I120" t="s">
        <v>224</v>
      </c>
      <c r="J120" t="s">
        <v>138</v>
      </c>
      <c r="K120" t="s">
        <v>139</v>
      </c>
      <c r="L120" s="17"/>
      <c r="M120" s="17"/>
      <c r="N120" s="17" t="s">
        <v>225</v>
      </c>
      <c r="O120" s="36"/>
      <c r="P120" s="17"/>
      <c r="Q120" s="17"/>
      <c r="U120" t="s">
        <v>226</v>
      </c>
      <c r="V120" t="s">
        <v>246</v>
      </c>
      <c r="X120" s="31">
        <v>43957</v>
      </c>
      <c r="Y120" s="31">
        <v>43957</v>
      </c>
      <c r="AA120" s="31"/>
      <c r="AB120" t="s">
        <v>9</v>
      </c>
      <c r="AC120">
        <v>0</v>
      </c>
      <c r="AD120">
        <v>0</v>
      </c>
      <c r="AE120">
        <v>0</v>
      </c>
      <c r="AF120">
        <v>0</v>
      </c>
      <c r="AG120">
        <v>5</v>
      </c>
      <c r="AH120">
        <v>1</v>
      </c>
      <c r="AI120">
        <v>50036</v>
      </c>
      <c r="AJ120">
        <v>2111</v>
      </c>
      <c r="AK120">
        <v>0</v>
      </c>
      <c r="AL120">
        <v>19</v>
      </c>
      <c r="AO120" s="41"/>
      <c r="AP120" s="41"/>
      <c r="AQ120" t="str">
        <f t="shared" si="2"/>
        <v/>
      </c>
      <c r="AS120" t="str">
        <f t="shared" si="3"/>
        <v>wci_corp</v>
      </c>
    </row>
    <row r="121" spans="2:45" x14ac:dyDescent="0.2">
      <c r="B121" t="s">
        <v>161</v>
      </c>
      <c r="C121" s="31">
        <v>43982</v>
      </c>
      <c r="D121" s="15">
        <v>-1762</v>
      </c>
      <c r="E121" s="15">
        <v>0</v>
      </c>
      <c r="F121" s="53" t="s">
        <v>134</v>
      </c>
      <c r="G121" t="s">
        <v>245</v>
      </c>
      <c r="H121" s="41" t="s">
        <v>136</v>
      </c>
      <c r="I121" t="s">
        <v>224</v>
      </c>
      <c r="J121" t="s">
        <v>138</v>
      </c>
      <c r="K121" t="s">
        <v>139</v>
      </c>
      <c r="L121" s="17"/>
      <c r="M121" s="17"/>
      <c r="N121" s="17" t="s">
        <v>225</v>
      </c>
      <c r="O121" s="36"/>
      <c r="P121" s="17"/>
      <c r="Q121" s="17"/>
      <c r="U121" t="s">
        <v>226</v>
      </c>
      <c r="V121" t="s">
        <v>246</v>
      </c>
      <c r="X121" s="31">
        <v>43957</v>
      </c>
      <c r="Y121" s="31">
        <v>43957</v>
      </c>
      <c r="AA121" s="31"/>
      <c r="AB121" t="s">
        <v>9</v>
      </c>
      <c r="AC121">
        <v>0</v>
      </c>
      <c r="AD121">
        <v>0</v>
      </c>
      <c r="AE121">
        <v>0</v>
      </c>
      <c r="AF121">
        <v>0</v>
      </c>
      <c r="AG121">
        <v>5</v>
      </c>
      <c r="AH121">
        <v>1</v>
      </c>
      <c r="AI121">
        <v>50050</v>
      </c>
      <c r="AJ121">
        <v>2111</v>
      </c>
      <c r="AK121">
        <v>0</v>
      </c>
      <c r="AL121">
        <v>19</v>
      </c>
      <c r="AO121" s="41"/>
      <c r="AP121" s="41"/>
      <c r="AQ121" t="str">
        <f t="shared" si="2"/>
        <v/>
      </c>
      <c r="AS121" t="str">
        <f t="shared" si="3"/>
        <v>wci_corp</v>
      </c>
    </row>
    <row r="122" spans="2:45" x14ac:dyDescent="0.2">
      <c r="B122" t="s">
        <v>162</v>
      </c>
      <c r="C122" s="31">
        <v>43982</v>
      </c>
      <c r="D122" s="15">
        <v>-3977.54</v>
      </c>
      <c r="E122" s="15">
        <v>0</v>
      </c>
      <c r="F122" s="53" t="s">
        <v>134</v>
      </c>
      <c r="G122" t="s">
        <v>245</v>
      </c>
      <c r="H122" s="41" t="s">
        <v>136</v>
      </c>
      <c r="I122" t="s">
        <v>224</v>
      </c>
      <c r="J122" t="s">
        <v>138</v>
      </c>
      <c r="K122" t="s">
        <v>139</v>
      </c>
      <c r="L122" s="17"/>
      <c r="M122" s="17"/>
      <c r="N122" s="17" t="s">
        <v>225</v>
      </c>
      <c r="O122" s="36"/>
      <c r="P122" s="17"/>
      <c r="Q122" s="17"/>
      <c r="U122" t="s">
        <v>226</v>
      </c>
      <c r="V122" t="s">
        <v>246</v>
      </c>
      <c r="X122" s="31">
        <v>43957</v>
      </c>
      <c r="Y122" s="31">
        <v>43957</v>
      </c>
      <c r="AA122" s="31"/>
      <c r="AB122" t="s">
        <v>9</v>
      </c>
      <c r="AC122">
        <v>0</v>
      </c>
      <c r="AD122">
        <v>0</v>
      </c>
      <c r="AE122">
        <v>0</v>
      </c>
      <c r="AF122">
        <v>0</v>
      </c>
      <c r="AG122">
        <v>5</v>
      </c>
      <c r="AH122">
        <v>1</v>
      </c>
      <c r="AI122">
        <v>52036</v>
      </c>
      <c r="AJ122">
        <v>2111</v>
      </c>
      <c r="AK122">
        <v>0</v>
      </c>
      <c r="AL122">
        <v>19</v>
      </c>
      <c r="AO122" s="41"/>
      <c r="AP122" s="41"/>
      <c r="AQ122" t="str">
        <f t="shared" si="2"/>
        <v/>
      </c>
      <c r="AS122" t="str">
        <f t="shared" si="3"/>
        <v>wci_corp</v>
      </c>
    </row>
    <row r="123" spans="2:45" x14ac:dyDescent="0.2">
      <c r="B123" t="s">
        <v>163</v>
      </c>
      <c r="C123" s="31">
        <v>43982</v>
      </c>
      <c r="D123" s="15">
        <v>-304.27999999999997</v>
      </c>
      <c r="E123" s="15">
        <v>0</v>
      </c>
      <c r="F123" s="53" t="s">
        <v>134</v>
      </c>
      <c r="G123" t="s">
        <v>245</v>
      </c>
      <c r="H123" s="41" t="s">
        <v>136</v>
      </c>
      <c r="I123" t="s">
        <v>224</v>
      </c>
      <c r="J123" t="s">
        <v>138</v>
      </c>
      <c r="K123" t="s">
        <v>139</v>
      </c>
      <c r="L123" s="17"/>
      <c r="M123" s="17"/>
      <c r="N123" s="17" t="s">
        <v>225</v>
      </c>
      <c r="O123" s="36"/>
      <c r="P123" s="17"/>
      <c r="Q123" s="17"/>
      <c r="U123" t="s">
        <v>226</v>
      </c>
      <c r="V123" t="s">
        <v>246</v>
      </c>
      <c r="X123" s="31">
        <v>43957</v>
      </c>
      <c r="Y123" s="31">
        <v>43957</v>
      </c>
      <c r="AA123" s="31"/>
      <c r="AB123" t="s">
        <v>9</v>
      </c>
      <c r="AC123">
        <v>0</v>
      </c>
      <c r="AD123">
        <v>0</v>
      </c>
      <c r="AE123">
        <v>0</v>
      </c>
      <c r="AF123">
        <v>0</v>
      </c>
      <c r="AG123">
        <v>5</v>
      </c>
      <c r="AH123">
        <v>1</v>
      </c>
      <c r="AI123">
        <v>52050</v>
      </c>
      <c r="AJ123">
        <v>2111</v>
      </c>
      <c r="AK123">
        <v>0</v>
      </c>
      <c r="AL123">
        <v>19</v>
      </c>
      <c r="AO123" s="41"/>
      <c r="AP123" s="41"/>
      <c r="AQ123" t="str">
        <f t="shared" si="2"/>
        <v/>
      </c>
      <c r="AS123" t="str">
        <f t="shared" si="3"/>
        <v>wci_corp</v>
      </c>
    </row>
    <row r="124" spans="2:45" x14ac:dyDescent="0.2">
      <c r="B124" t="s">
        <v>164</v>
      </c>
      <c r="C124" s="31">
        <v>43982</v>
      </c>
      <c r="D124" s="15">
        <v>-1042.1199999999999</v>
      </c>
      <c r="E124" s="15">
        <v>0</v>
      </c>
      <c r="F124" s="53" t="s">
        <v>134</v>
      </c>
      <c r="G124" t="s">
        <v>245</v>
      </c>
      <c r="H124" s="41" t="s">
        <v>136</v>
      </c>
      <c r="I124" t="s">
        <v>224</v>
      </c>
      <c r="J124" t="s">
        <v>138</v>
      </c>
      <c r="K124" t="s">
        <v>139</v>
      </c>
      <c r="L124" s="17"/>
      <c r="M124" s="17"/>
      <c r="N124" s="17" t="s">
        <v>225</v>
      </c>
      <c r="O124" s="36"/>
      <c r="P124" s="17"/>
      <c r="Q124" s="17"/>
      <c r="U124" t="s">
        <v>226</v>
      </c>
      <c r="V124" t="s">
        <v>246</v>
      </c>
      <c r="X124" s="31">
        <v>43957</v>
      </c>
      <c r="Y124" s="31">
        <v>43957</v>
      </c>
      <c r="AA124" s="31"/>
      <c r="AB124" t="s">
        <v>9</v>
      </c>
      <c r="AC124">
        <v>0</v>
      </c>
      <c r="AD124">
        <v>0</v>
      </c>
      <c r="AE124">
        <v>0</v>
      </c>
      <c r="AF124">
        <v>0</v>
      </c>
      <c r="AG124">
        <v>5</v>
      </c>
      <c r="AH124">
        <v>1</v>
      </c>
      <c r="AI124">
        <v>55036</v>
      </c>
      <c r="AJ124">
        <v>2111</v>
      </c>
      <c r="AK124">
        <v>0</v>
      </c>
      <c r="AL124">
        <v>19</v>
      </c>
      <c r="AO124" s="41"/>
      <c r="AP124" s="41"/>
      <c r="AQ124" t="str">
        <f t="shared" si="2"/>
        <v/>
      </c>
      <c r="AS124" t="str">
        <f t="shared" si="3"/>
        <v>wci_corp</v>
      </c>
    </row>
    <row r="125" spans="2:45" x14ac:dyDescent="0.2">
      <c r="B125" t="s">
        <v>165</v>
      </c>
      <c r="C125" s="31">
        <v>43982</v>
      </c>
      <c r="D125" s="15">
        <v>-79.72</v>
      </c>
      <c r="E125" s="15">
        <v>0</v>
      </c>
      <c r="F125" s="53" t="s">
        <v>134</v>
      </c>
      <c r="G125" t="s">
        <v>245</v>
      </c>
      <c r="H125" s="41" t="s">
        <v>136</v>
      </c>
      <c r="I125" t="s">
        <v>224</v>
      </c>
      <c r="J125" t="s">
        <v>138</v>
      </c>
      <c r="K125" t="s">
        <v>139</v>
      </c>
      <c r="L125" s="17"/>
      <c r="M125" s="17"/>
      <c r="N125" s="17" t="s">
        <v>225</v>
      </c>
      <c r="O125" s="36"/>
      <c r="P125" s="17"/>
      <c r="Q125" s="17"/>
      <c r="U125" t="s">
        <v>226</v>
      </c>
      <c r="V125" t="s">
        <v>246</v>
      </c>
      <c r="X125" s="31">
        <v>43957</v>
      </c>
      <c r="Y125" s="31">
        <v>43957</v>
      </c>
      <c r="AA125" s="31"/>
      <c r="AB125" t="s">
        <v>9</v>
      </c>
      <c r="AC125">
        <v>0</v>
      </c>
      <c r="AD125">
        <v>0</v>
      </c>
      <c r="AE125">
        <v>0</v>
      </c>
      <c r="AF125">
        <v>0</v>
      </c>
      <c r="AG125">
        <v>5</v>
      </c>
      <c r="AH125">
        <v>1</v>
      </c>
      <c r="AI125">
        <v>55050</v>
      </c>
      <c r="AJ125">
        <v>2111</v>
      </c>
      <c r="AK125">
        <v>0</v>
      </c>
      <c r="AL125">
        <v>19</v>
      </c>
      <c r="AO125" s="41"/>
      <c r="AP125" s="41"/>
      <c r="AQ125" t="str">
        <f t="shared" si="2"/>
        <v/>
      </c>
      <c r="AS125" t="str">
        <f t="shared" si="3"/>
        <v>wci_corp</v>
      </c>
    </row>
    <row r="126" spans="2:45" x14ac:dyDescent="0.2">
      <c r="B126" t="s">
        <v>166</v>
      </c>
      <c r="C126" s="31">
        <v>43982</v>
      </c>
      <c r="D126" s="15">
        <v>-1350</v>
      </c>
      <c r="E126" s="15">
        <v>0</v>
      </c>
      <c r="F126" s="53" t="s">
        <v>134</v>
      </c>
      <c r="G126" t="s">
        <v>245</v>
      </c>
      <c r="H126" s="41" t="s">
        <v>136</v>
      </c>
      <c r="I126" t="s">
        <v>224</v>
      </c>
      <c r="J126" t="s">
        <v>138</v>
      </c>
      <c r="K126" t="s">
        <v>139</v>
      </c>
      <c r="L126" s="17"/>
      <c r="M126" s="17"/>
      <c r="N126" s="17" t="s">
        <v>225</v>
      </c>
      <c r="O126" s="36"/>
      <c r="P126" s="17"/>
      <c r="Q126" s="17"/>
      <c r="U126" t="s">
        <v>226</v>
      </c>
      <c r="V126" t="s">
        <v>246</v>
      </c>
      <c r="X126" s="31">
        <v>43957</v>
      </c>
      <c r="Y126" s="31">
        <v>43957</v>
      </c>
      <c r="AA126" s="31"/>
      <c r="AB126" t="s">
        <v>9</v>
      </c>
      <c r="AC126">
        <v>0</v>
      </c>
      <c r="AD126">
        <v>0</v>
      </c>
      <c r="AE126">
        <v>0</v>
      </c>
      <c r="AF126">
        <v>0</v>
      </c>
      <c r="AG126">
        <v>5</v>
      </c>
      <c r="AH126">
        <v>1</v>
      </c>
      <c r="AI126">
        <v>56036</v>
      </c>
      <c r="AJ126">
        <v>2111</v>
      </c>
      <c r="AK126">
        <v>0</v>
      </c>
      <c r="AL126">
        <v>19</v>
      </c>
      <c r="AO126" s="41"/>
      <c r="AP126" s="41"/>
      <c r="AQ126" t="str">
        <f t="shared" si="2"/>
        <v/>
      </c>
      <c r="AS126" t="str">
        <f t="shared" si="3"/>
        <v>wci_corp</v>
      </c>
    </row>
    <row r="127" spans="2:45" x14ac:dyDescent="0.2">
      <c r="B127" t="s">
        <v>167</v>
      </c>
      <c r="C127" s="31">
        <v>43982</v>
      </c>
      <c r="D127" s="15">
        <v>-103.28</v>
      </c>
      <c r="E127" s="15">
        <v>0</v>
      </c>
      <c r="F127" s="53" t="s">
        <v>134</v>
      </c>
      <c r="G127" t="s">
        <v>245</v>
      </c>
      <c r="H127" s="41" t="s">
        <v>136</v>
      </c>
      <c r="I127" t="s">
        <v>224</v>
      </c>
      <c r="J127" t="s">
        <v>138</v>
      </c>
      <c r="K127" t="s">
        <v>139</v>
      </c>
      <c r="L127" s="17"/>
      <c r="M127" s="17"/>
      <c r="N127" s="17" t="s">
        <v>225</v>
      </c>
      <c r="O127" s="36"/>
      <c r="P127" s="17"/>
      <c r="Q127" s="17"/>
      <c r="U127" t="s">
        <v>226</v>
      </c>
      <c r="V127" t="s">
        <v>246</v>
      </c>
      <c r="X127" s="31">
        <v>43957</v>
      </c>
      <c r="Y127" s="31">
        <v>43957</v>
      </c>
      <c r="AA127" s="31"/>
      <c r="AB127" t="s">
        <v>9</v>
      </c>
      <c r="AC127">
        <v>0</v>
      </c>
      <c r="AD127">
        <v>0</v>
      </c>
      <c r="AE127">
        <v>0</v>
      </c>
      <c r="AF127">
        <v>0</v>
      </c>
      <c r="AG127">
        <v>5</v>
      </c>
      <c r="AH127">
        <v>1</v>
      </c>
      <c r="AI127">
        <v>56050</v>
      </c>
      <c r="AJ127">
        <v>2111</v>
      </c>
      <c r="AK127">
        <v>0</v>
      </c>
      <c r="AL127">
        <v>19</v>
      </c>
      <c r="AO127" s="41"/>
      <c r="AP127" s="41"/>
      <c r="AQ127" t="str">
        <f t="shared" si="2"/>
        <v/>
      </c>
      <c r="AS127" t="str">
        <f t="shared" si="3"/>
        <v>wci_corp</v>
      </c>
    </row>
    <row r="128" spans="2:45" x14ac:dyDescent="0.2">
      <c r="B128" t="s">
        <v>168</v>
      </c>
      <c r="C128" s="31">
        <v>43982</v>
      </c>
      <c r="D128" s="15">
        <v>-3826.56</v>
      </c>
      <c r="E128" s="15">
        <v>0</v>
      </c>
      <c r="F128" s="53" t="s">
        <v>134</v>
      </c>
      <c r="G128" t="s">
        <v>245</v>
      </c>
      <c r="H128" s="41" t="s">
        <v>136</v>
      </c>
      <c r="I128" t="s">
        <v>224</v>
      </c>
      <c r="J128" t="s">
        <v>138</v>
      </c>
      <c r="K128" t="s">
        <v>139</v>
      </c>
      <c r="L128" s="17"/>
      <c r="M128" s="17"/>
      <c r="N128" s="17" t="s">
        <v>225</v>
      </c>
      <c r="O128" s="36"/>
      <c r="P128" s="17"/>
      <c r="Q128" s="17"/>
      <c r="U128" t="s">
        <v>226</v>
      </c>
      <c r="V128" t="s">
        <v>246</v>
      </c>
      <c r="X128" s="31">
        <v>43957</v>
      </c>
      <c r="Y128" s="31">
        <v>43957</v>
      </c>
      <c r="AA128" s="31"/>
      <c r="AB128" t="s">
        <v>9</v>
      </c>
      <c r="AC128">
        <v>0</v>
      </c>
      <c r="AD128">
        <v>0</v>
      </c>
      <c r="AE128">
        <v>0</v>
      </c>
      <c r="AF128">
        <v>0</v>
      </c>
      <c r="AG128">
        <v>5</v>
      </c>
      <c r="AH128">
        <v>1</v>
      </c>
      <c r="AI128">
        <v>70036</v>
      </c>
      <c r="AJ128">
        <v>2111</v>
      </c>
      <c r="AK128">
        <v>0</v>
      </c>
      <c r="AL128">
        <v>19</v>
      </c>
      <c r="AO128" s="41"/>
      <c r="AP128" s="41"/>
      <c r="AQ128" t="str">
        <f t="shared" si="2"/>
        <v/>
      </c>
      <c r="AS128" t="str">
        <f t="shared" si="3"/>
        <v>wci_corp</v>
      </c>
    </row>
    <row r="129" spans="2:45" x14ac:dyDescent="0.2">
      <c r="B129" t="s">
        <v>169</v>
      </c>
      <c r="C129" s="31">
        <v>43982</v>
      </c>
      <c r="D129" s="15">
        <v>-292.73</v>
      </c>
      <c r="E129" s="15">
        <v>0</v>
      </c>
      <c r="F129" s="53" t="s">
        <v>134</v>
      </c>
      <c r="G129" t="s">
        <v>245</v>
      </c>
      <c r="H129" s="41" t="s">
        <v>136</v>
      </c>
      <c r="I129" t="s">
        <v>224</v>
      </c>
      <c r="J129" t="s">
        <v>138</v>
      </c>
      <c r="K129" t="s">
        <v>139</v>
      </c>
      <c r="L129" s="17"/>
      <c r="M129" s="17"/>
      <c r="N129" s="17" t="s">
        <v>225</v>
      </c>
      <c r="O129" s="36"/>
      <c r="P129" s="17"/>
      <c r="Q129" s="17"/>
      <c r="U129" t="s">
        <v>226</v>
      </c>
      <c r="V129" t="s">
        <v>246</v>
      </c>
      <c r="X129" s="31">
        <v>43957</v>
      </c>
      <c r="Y129" s="31">
        <v>43957</v>
      </c>
      <c r="AA129" s="31"/>
      <c r="AB129" t="s">
        <v>9</v>
      </c>
      <c r="AC129">
        <v>0</v>
      </c>
      <c r="AD129">
        <v>0</v>
      </c>
      <c r="AE129">
        <v>0</v>
      </c>
      <c r="AF129">
        <v>0</v>
      </c>
      <c r="AG129">
        <v>5</v>
      </c>
      <c r="AH129">
        <v>1</v>
      </c>
      <c r="AI129">
        <v>70050</v>
      </c>
      <c r="AJ129">
        <v>2111</v>
      </c>
      <c r="AK129">
        <v>0</v>
      </c>
      <c r="AL129">
        <v>19</v>
      </c>
      <c r="AO129" s="41"/>
      <c r="AP129" s="41"/>
      <c r="AQ129" t="str">
        <f t="shared" si="2"/>
        <v/>
      </c>
      <c r="AS129" t="str">
        <f t="shared" si="3"/>
        <v>wci_corp</v>
      </c>
    </row>
    <row r="130" spans="2:45" x14ac:dyDescent="0.2">
      <c r="B130" t="s">
        <v>202</v>
      </c>
      <c r="C130" s="31">
        <v>43982</v>
      </c>
      <c r="D130" s="15">
        <v>1272</v>
      </c>
      <c r="E130" s="15">
        <v>0</v>
      </c>
      <c r="F130" s="53" t="s">
        <v>134</v>
      </c>
      <c r="G130" t="s">
        <v>247</v>
      </c>
      <c r="H130" s="41" t="s">
        <v>136</v>
      </c>
      <c r="I130" t="s">
        <v>248</v>
      </c>
      <c r="J130" t="s">
        <v>138</v>
      </c>
      <c r="K130" t="s">
        <v>139</v>
      </c>
      <c r="L130" s="17"/>
      <c r="M130" s="17"/>
      <c r="N130" s="17" t="s">
        <v>249</v>
      </c>
      <c r="O130" s="36"/>
      <c r="P130" s="17"/>
      <c r="Q130" s="17"/>
      <c r="U130" t="s">
        <v>250</v>
      </c>
      <c r="V130" t="s">
        <v>250</v>
      </c>
      <c r="X130" s="31">
        <v>43964</v>
      </c>
      <c r="Y130" s="31">
        <v>43964</v>
      </c>
      <c r="AA130" s="31"/>
      <c r="AB130" t="s">
        <v>9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1</v>
      </c>
      <c r="AI130">
        <v>50020</v>
      </c>
      <c r="AJ130">
        <v>2111</v>
      </c>
      <c r="AK130">
        <v>0</v>
      </c>
      <c r="AL130">
        <v>19</v>
      </c>
      <c r="AO130" s="41"/>
      <c r="AP130" s="41"/>
      <c r="AQ130" t="str">
        <f t="shared" si="2"/>
        <v/>
      </c>
      <c r="AS130" t="str">
        <f t="shared" si="3"/>
        <v>wci_corp</v>
      </c>
    </row>
    <row r="131" spans="2:45" x14ac:dyDescent="0.2">
      <c r="B131" t="s">
        <v>142</v>
      </c>
      <c r="C131" s="31">
        <v>43982</v>
      </c>
      <c r="D131" s="15">
        <v>775</v>
      </c>
      <c r="E131" s="15">
        <v>0</v>
      </c>
      <c r="F131" s="53" t="s">
        <v>134</v>
      </c>
      <c r="G131" t="s">
        <v>251</v>
      </c>
      <c r="H131" s="41" t="s">
        <v>136</v>
      </c>
      <c r="I131" t="s">
        <v>252</v>
      </c>
      <c r="J131" t="s">
        <v>151</v>
      </c>
      <c r="K131" t="s">
        <v>139</v>
      </c>
      <c r="L131" s="17"/>
      <c r="M131" s="17"/>
      <c r="N131" s="17" t="s">
        <v>253</v>
      </c>
      <c r="O131" s="36"/>
      <c r="P131" s="17"/>
      <c r="Q131" s="17"/>
      <c r="U131" t="s">
        <v>254</v>
      </c>
      <c r="V131" t="s">
        <v>254</v>
      </c>
      <c r="X131" s="31">
        <v>43973</v>
      </c>
      <c r="Y131" s="31">
        <v>43973</v>
      </c>
      <c r="AA131" s="31"/>
      <c r="AB131" t="s">
        <v>9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</v>
      </c>
      <c r="AI131">
        <v>70165</v>
      </c>
      <c r="AJ131">
        <v>2111</v>
      </c>
      <c r="AK131">
        <v>0</v>
      </c>
      <c r="AL131">
        <v>19</v>
      </c>
      <c r="AO131" s="41"/>
      <c r="AP131" s="41"/>
      <c r="AQ131" t="str">
        <f t="shared" si="2"/>
        <v/>
      </c>
      <c r="AS131" t="str">
        <f t="shared" si="3"/>
        <v>wci_corp</v>
      </c>
    </row>
    <row r="132" spans="2:45" x14ac:dyDescent="0.2">
      <c r="B132" t="s">
        <v>142</v>
      </c>
      <c r="C132" s="31">
        <v>43982</v>
      </c>
      <c r="D132" s="15">
        <v>25</v>
      </c>
      <c r="E132" s="15">
        <v>0</v>
      </c>
      <c r="F132" s="53" t="s">
        <v>134</v>
      </c>
      <c r="G132" t="s">
        <v>251</v>
      </c>
      <c r="H132" s="41" t="s">
        <v>136</v>
      </c>
      <c r="I132" t="s">
        <v>252</v>
      </c>
      <c r="J132" t="s">
        <v>151</v>
      </c>
      <c r="K132" t="s">
        <v>139</v>
      </c>
      <c r="L132" s="17"/>
      <c r="M132" s="17"/>
      <c r="N132" s="17" t="s">
        <v>253</v>
      </c>
      <c r="O132" s="36"/>
      <c r="P132" s="17"/>
      <c r="Q132" s="17"/>
      <c r="U132" t="s">
        <v>254</v>
      </c>
      <c r="V132" t="s">
        <v>254</v>
      </c>
      <c r="X132" s="31">
        <v>43973</v>
      </c>
      <c r="Y132" s="31">
        <v>43973</v>
      </c>
      <c r="AA132" s="31"/>
      <c r="AB132" t="s">
        <v>9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1</v>
      </c>
      <c r="AI132">
        <v>70165</v>
      </c>
      <c r="AJ132">
        <v>2111</v>
      </c>
      <c r="AK132">
        <v>0</v>
      </c>
      <c r="AL132">
        <v>19</v>
      </c>
      <c r="AO132" s="41"/>
      <c r="AP132" s="41"/>
      <c r="AQ132" t="str">
        <f t="shared" si="2"/>
        <v/>
      </c>
      <c r="AS132" t="str">
        <f t="shared" si="3"/>
        <v>wci_corp</v>
      </c>
    </row>
    <row r="133" spans="2:45" x14ac:dyDescent="0.2">
      <c r="B133" t="s">
        <v>142</v>
      </c>
      <c r="C133" s="31">
        <v>43982</v>
      </c>
      <c r="D133" s="15">
        <v>25</v>
      </c>
      <c r="E133" s="15">
        <v>0</v>
      </c>
      <c r="F133" s="53" t="s">
        <v>134</v>
      </c>
      <c r="G133" t="s">
        <v>251</v>
      </c>
      <c r="H133" s="41" t="s">
        <v>136</v>
      </c>
      <c r="I133" t="s">
        <v>252</v>
      </c>
      <c r="J133" t="s">
        <v>151</v>
      </c>
      <c r="K133" t="s">
        <v>139</v>
      </c>
      <c r="L133" s="17"/>
      <c r="M133" s="17"/>
      <c r="N133" s="17" t="s">
        <v>253</v>
      </c>
      <c r="O133" s="36"/>
      <c r="P133" s="17"/>
      <c r="Q133" s="17"/>
      <c r="U133" t="s">
        <v>254</v>
      </c>
      <c r="V133" t="s">
        <v>254</v>
      </c>
      <c r="X133" s="31">
        <v>43973</v>
      </c>
      <c r="Y133" s="31">
        <v>43973</v>
      </c>
      <c r="AA133" s="31"/>
      <c r="AB133" t="s">
        <v>9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1</v>
      </c>
      <c r="AI133">
        <v>70165</v>
      </c>
      <c r="AJ133">
        <v>2111</v>
      </c>
      <c r="AK133">
        <v>0</v>
      </c>
      <c r="AL133">
        <v>19</v>
      </c>
      <c r="AO133" s="41"/>
      <c r="AP133" s="41"/>
      <c r="AQ133" t="str">
        <f t="shared" si="2"/>
        <v/>
      </c>
      <c r="AS133" t="str">
        <f t="shared" si="3"/>
        <v>wci_corp</v>
      </c>
    </row>
    <row r="134" spans="2:45" x14ac:dyDescent="0.2">
      <c r="B134" t="s">
        <v>156</v>
      </c>
      <c r="C134" s="31">
        <v>43982</v>
      </c>
      <c r="D134" s="15">
        <v>1760.4</v>
      </c>
      <c r="E134" s="15">
        <v>0</v>
      </c>
      <c r="F134" s="53" t="s">
        <v>134</v>
      </c>
      <c r="G134" t="s">
        <v>255</v>
      </c>
      <c r="H134" s="41" t="s">
        <v>136</v>
      </c>
      <c r="I134" t="s">
        <v>256</v>
      </c>
      <c r="J134" t="s">
        <v>151</v>
      </c>
      <c r="K134" t="s">
        <v>139</v>
      </c>
      <c r="L134" s="17"/>
      <c r="M134" s="17"/>
      <c r="N134" s="17" t="s">
        <v>257</v>
      </c>
      <c r="O134" s="36"/>
      <c r="P134" s="17"/>
      <c r="Q134" s="17"/>
      <c r="U134" t="s">
        <v>258</v>
      </c>
      <c r="V134" t="s">
        <v>258</v>
      </c>
      <c r="X134" s="31">
        <v>43984</v>
      </c>
      <c r="Y134" s="31">
        <v>43984</v>
      </c>
      <c r="AA134" s="31"/>
      <c r="AB134" t="s">
        <v>9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1</v>
      </c>
      <c r="AI134">
        <v>50036</v>
      </c>
      <c r="AJ134">
        <v>2111</v>
      </c>
      <c r="AK134">
        <v>0</v>
      </c>
      <c r="AL134">
        <v>19</v>
      </c>
      <c r="AO134" s="41"/>
      <c r="AP134" s="41"/>
      <c r="AQ134" t="str">
        <f t="shared" si="2"/>
        <v/>
      </c>
      <c r="AS134" t="str">
        <f t="shared" si="3"/>
        <v>wci_corp</v>
      </c>
    </row>
    <row r="135" spans="2:45" x14ac:dyDescent="0.2">
      <c r="B135" t="s">
        <v>193</v>
      </c>
      <c r="C135" s="31">
        <v>43982</v>
      </c>
      <c r="D135" s="15">
        <v>9206.5</v>
      </c>
      <c r="E135" s="15">
        <v>0</v>
      </c>
      <c r="F135" s="53" t="s">
        <v>134</v>
      </c>
      <c r="G135" t="s">
        <v>255</v>
      </c>
      <c r="H135" s="41" t="s">
        <v>136</v>
      </c>
      <c r="I135" t="s">
        <v>256</v>
      </c>
      <c r="J135" t="s">
        <v>151</v>
      </c>
      <c r="K135" t="s">
        <v>139</v>
      </c>
      <c r="L135" s="17"/>
      <c r="M135" s="17"/>
      <c r="N135" s="17" t="s">
        <v>257</v>
      </c>
      <c r="O135" s="36"/>
      <c r="P135" s="17"/>
      <c r="Q135" s="17"/>
      <c r="U135" t="s">
        <v>258</v>
      </c>
      <c r="V135" t="s">
        <v>258</v>
      </c>
      <c r="X135" s="31">
        <v>43984</v>
      </c>
      <c r="Y135" s="31">
        <v>43984</v>
      </c>
      <c r="AA135" s="31"/>
      <c r="AB135" t="s">
        <v>9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1</v>
      </c>
      <c r="AI135">
        <v>50036</v>
      </c>
      <c r="AJ135">
        <v>2111</v>
      </c>
      <c r="AK135">
        <v>100</v>
      </c>
      <c r="AL135">
        <v>19</v>
      </c>
      <c r="AO135" s="41"/>
      <c r="AP135" s="41"/>
      <c r="AQ135" t="str">
        <f t="shared" si="2"/>
        <v/>
      </c>
      <c r="AS135" t="str">
        <f t="shared" si="3"/>
        <v>wci_corp</v>
      </c>
    </row>
    <row r="136" spans="2:45" x14ac:dyDescent="0.2">
      <c r="B136" t="s">
        <v>194</v>
      </c>
      <c r="C136" s="31">
        <v>43982</v>
      </c>
      <c r="D136" s="15">
        <v>7880.18</v>
      </c>
      <c r="E136" s="15">
        <v>0</v>
      </c>
      <c r="F136" s="53" t="s">
        <v>134</v>
      </c>
      <c r="G136" t="s">
        <v>255</v>
      </c>
      <c r="H136" s="41" t="s">
        <v>136</v>
      </c>
      <c r="I136" t="s">
        <v>256</v>
      </c>
      <c r="J136" t="s">
        <v>151</v>
      </c>
      <c r="K136" t="s">
        <v>139</v>
      </c>
      <c r="L136" s="17"/>
      <c r="M136" s="17"/>
      <c r="N136" s="17" t="s">
        <v>257</v>
      </c>
      <c r="O136" s="36"/>
      <c r="P136" s="17"/>
      <c r="Q136" s="17"/>
      <c r="U136" t="s">
        <v>258</v>
      </c>
      <c r="V136" t="s">
        <v>258</v>
      </c>
      <c r="X136" s="31">
        <v>43984</v>
      </c>
      <c r="Y136" s="31">
        <v>43984</v>
      </c>
      <c r="AA136" s="31"/>
      <c r="AB136" t="s">
        <v>9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1</v>
      </c>
      <c r="AI136">
        <v>50036</v>
      </c>
      <c r="AJ136">
        <v>2111</v>
      </c>
      <c r="AK136">
        <v>200</v>
      </c>
      <c r="AL136">
        <v>19</v>
      </c>
      <c r="AO136" s="41"/>
      <c r="AP136" s="41"/>
      <c r="AQ136" t="str">
        <f t="shared" si="2"/>
        <v/>
      </c>
      <c r="AS136" t="str">
        <f t="shared" si="3"/>
        <v>wci_corp</v>
      </c>
    </row>
    <row r="137" spans="2:45" x14ac:dyDescent="0.2">
      <c r="B137" t="s">
        <v>195</v>
      </c>
      <c r="C137" s="31">
        <v>43982</v>
      </c>
      <c r="D137" s="15">
        <v>415.76</v>
      </c>
      <c r="E137" s="15">
        <v>0</v>
      </c>
      <c r="F137" s="53" t="s">
        <v>134</v>
      </c>
      <c r="G137" t="s">
        <v>255</v>
      </c>
      <c r="H137" s="41" t="s">
        <v>136</v>
      </c>
      <c r="I137" t="s">
        <v>256</v>
      </c>
      <c r="J137" t="s">
        <v>151</v>
      </c>
      <c r="K137" t="s">
        <v>139</v>
      </c>
      <c r="L137" s="17"/>
      <c r="M137" s="17"/>
      <c r="N137" s="17" t="s">
        <v>257</v>
      </c>
      <c r="O137" s="36"/>
      <c r="P137" s="17"/>
      <c r="Q137" s="17"/>
      <c r="U137" t="s">
        <v>258</v>
      </c>
      <c r="V137" t="s">
        <v>258</v>
      </c>
      <c r="X137" s="31">
        <v>43984</v>
      </c>
      <c r="Y137" s="31">
        <v>43984</v>
      </c>
      <c r="AA137" s="31"/>
      <c r="AB137" t="s">
        <v>9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1</v>
      </c>
      <c r="AI137">
        <v>50036</v>
      </c>
      <c r="AJ137">
        <v>2111</v>
      </c>
      <c r="AK137">
        <v>201</v>
      </c>
      <c r="AL137">
        <v>19</v>
      </c>
      <c r="AO137" s="41"/>
      <c r="AP137" s="41"/>
      <c r="AQ137" t="str">
        <f t="shared" si="2"/>
        <v/>
      </c>
      <c r="AS137" t="str">
        <f t="shared" si="3"/>
        <v>wci_corp</v>
      </c>
    </row>
    <row r="138" spans="2:45" x14ac:dyDescent="0.2">
      <c r="B138" t="s">
        <v>196</v>
      </c>
      <c r="C138" s="31">
        <v>43982</v>
      </c>
      <c r="D138" s="15">
        <v>2639.34</v>
      </c>
      <c r="E138" s="15">
        <v>0</v>
      </c>
      <c r="F138" s="53" t="s">
        <v>134</v>
      </c>
      <c r="G138" t="s">
        <v>255</v>
      </c>
      <c r="H138" s="41" t="s">
        <v>136</v>
      </c>
      <c r="I138" t="s">
        <v>256</v>
      </c>
      <c r="J138" t="s">
        <v>151</v>
      </c>
      <c r="K138" t="s">
        <v>139</v>
      </c>
      <c r="L138" s="17"/>
      <c r="M138" s="17"/>
      <c r="N138" s="17" t="s">
        <v>257</v>
      </c>
      <c r="O138" s="36"/>
      <c r="P138" s="17"/>
      <c r="Q138" s="17"/>
      <c r="U138" t="s">
        <v>258</v>
      </c>
      <c r="V138" t="s">
        <v>258</v>
      </c>
      <c r="X138" s="31">
        <v>43984</v>
      </c>
      <c r="Y138" s="31">
        <v>43984</v>
      </c>
      <c r="AA138" s="31"/>
      <c r="AB138" t="s">
        <v>9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1</v>
      </c>
      <c r="AI138">
        <v>50036</v>
      </c>
      <c r="AJ138">
        <v>2111</v>
      </c>
      <c r="AK138">
        <v>210</v>
      </c>
      <c r="AL138">
        <v>19</v>
      </c>
      <c r="AO138" s="41"/>
      <c r="AP138" s="41"/>
      <c r="AQ138" t="str">
        <f t="shared" si="2"/>
        <v/>
      </c>
      <c r="AS138" t="str">
        <f t="shared" si="3"/>
        <v>wci_corp</v>
      </c>
    </row>
    <row r="139" spans="2:45" x14ac:dyDescent="0.2">
      <c r="B139" t="s">
        <v>197</v>
      </c>
      <c r="C139" s="31">
        <v>43982</v>
      </c>
      <c r="D139" s="15">
        <v>2569</v>
      </c>
      <c r="E139" s="15">
        <v>0</v>
      </c>
      <c r="F139" s="53" t="s">
        <v>134</v>
      </c>
      <c r="G139" t="s">
        <v>255</v>
      </c>
      <c r="H139" s="41" t="s">
        <v>136</v>
      </c>
      <c r="I139" t="s">
        <v>256</v>
      </c>
      <c r="J139" t="s">
        <v>151</v>
      </c>
      <c r="K139" t="s">
        <v>139</v>
      </c>
      <c r="L139" s="17"/>
      <c r="M139" s="17"/>
      <c r="N139" s="17" t="s">
        <v>257</v>
      </c>
      <c r="O139" s="36"/>
      <c r="P139" s="17"/>
      <c r="Q139" s="17"/>
      <c r="U139" t="s">
        <v>258</v>
      </c>
      <c r="V139" t="s">
        <v>258</v>
      </c>
      <c r="X139" s="31">
        <v>43984</v>
      </c>
      <c r="Y139" s="31">
        <v>43984</v>
      </c>
      <c r="AA139" s="31"/>
      <c r="AB139" t="s">
        <v>9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</v>
      </c>
      <c r="AI139">
        <v>50036</v>
      </c>
      <c r="AJ139">
        <v>2111</v>
      </c>
      <c r="AK139">
        <v>300</v>
      </c>
      <c r="AL139">
        <v>19</v>
      </c>
      <c r="AO139" s="41"/>
      <c r="AP139" s="41"/>
      <c r="AQ139" t="str">
        <f t="shared" si="2"/>
        <v/>
      </c>
      <c r="AS139" t="str">
        <f t="shared" si="3"/>
        <v>wci_corp</v>
      </c>
    </row>
    <row r="140" spans="2:45" x14ac:dyDescent="0.2">
      <c r="B140" t="s">
        <v>198</v>
      </c>
      <c r="C140" s="31">
        <v>43982</v>
      </c>
      <c r="D140" s="15">
        <v>961.16</v>
      </c>
      <c r="E140" s="15">
        <v>0</v>
      </c>
      <c r="F140" s="53" t="s">
        <v>134</v>
      </c>
      <c r="G140" t="s">
        <v>255</v>
      </c>
      <c r="H140" s="41" t="s">
        <v>136</v>
      </c>
      <c r="I140" t="s">
        <v>256</v>
      </c>
      <c r="J140" t="s">
        <v>151</v>
      </c>
      <c r="K140" t="s">
        <v>139</v>
      </c>
      <c r="L140" s="17"/>
      <c r="M140" s="17"/>
      <c r="N140" s="17" t="s">
        <v>257</v>
      </c>
      <c r="O140" s="36"/>
      <c r="P140" s="17"/>
      <c r="Q140" s="17"/>
      <c r="U140" t="s">
        <v>258</v>
      </c>
      <c r="V140" t="s">
        <v>258</v>
      </c>
      <c r="X140" s="31">
        <v>43984</v>
      </c>
      <c r="Y140" s="31">
        <v>43984</v>
      </c>
      <c r="AA140" s="31"/>
      <c r="AB140" t="s">
        <v>9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1</v>
      </c>
      <c r="AI140">
        <v>50036</v>
      </c>
      <c r="AJ140">
        <v>2111</v>
      </c>
      <c r="AK140">
        <v>500</v>
      </c>
      <c r="AL140">
        <v>19</v>
      </c>
      <c r="AO140" s="41"/>
      <c r="AP140" s="41"/>
      <c r="AQ140" t="str">
        <f t="shared" si="2"/>
        <v/>
      </c>
      <c r="AS140" t="str">
        <f t="shared" si="3"/>
        <v>wci_corp</v>
      </c>
    </row>
    <row r="141" spans="2:45" x14ac:dyDescent="0.2">
      <c r="B141" t="s">
        <v>162</v>
      </c>
      <c r="C141" s="31">
        <v>43982</v>
      </c>
      <c r="D141" s="15">
        <v>4418</v>
      </c>
      <c r="E141" s="15">
        <v>0</v>
      </c>
      <c r="F141" s="53" t="s">
        <v>134</v>
      </c>
      <c r="G141" t="s">
        <v>255</v>
      </c>
      <c r="H141" s="41" t="s">
        <v>136</v>
      </c>
      <c r="I141" t="s">
        <v>256</v>
      </c>
      <c r="J141" t="s">
        <v>151</v>
      </c>
      <c r="K141" t="s">
        <v>139</v>
      </c>
      <c r="L141" s="17"/>
      <c r="M141" s="17"/>
      <c r="N141" s="17" t="s">
        <v>257</v>
      </c>
      <c r="O141" s="36"/>
      <c r="P141" s="17"/>
      <c r="Q141" s="17"/>
      <c r="U141" t="s">
        <v>258</v>
      </c>
      <c r="V141" t="s">
        <v>258</v>
      </c>
      <c r="X141" s="31">
        <v>43984</v>
      </c>
      <c r="Y141" s="31">
        <v>43984</v>
      </c>
      <c r="AA141" s="31"/>
      <c r="AB141" t="s">
        <v>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1</v>
      </c>
      <c r="AI141">
        <v>52036</v>
      </c>
      <c r="AJ141">
        <v>2111</v>
      </c>
      <c r="AK141">
        <v>0</v>
      </c>
      <c r="AL141">
        <v>19</v>
      </c>
      <c r="AO141" s="41"/>
      <c r="AP141" s="41"/>
      <c r="AQ141" t="str">
        <f t="shared" si="2"/>
        <v/>
      </c>
      <c r="AS141" t="str">
        <f t="shared" si="3"/>
        <v>wci_corp</v>
      </c>
    </row>
    <row r="142" spans="2:45" x14ac:dyDescent="0.2">
      <c r="B142" t="s">
        <v>164</v>
      </c>
      <c r="C142" s="31">
        <v>43982</v>
      </c>
      <c r="D142" s="15">
        <v>1137.0999999999999</v>
      </c>
      <c r="E142" s="15">
        <v>0</v>
      </c>
      <c r="F142" s="53" t="s">
        <v>134</v>
      </c>
      <c r="G142" t="s">
        <v>255</v>
      </c>
      <c r="H142" s="41" t="s">
        <v>136</v>
      </c>
      <c r="I142" t="s">
        <v>256</v>
      </c>
      <c r="J142" t="s">
        <v>151</v>
      </c>
      <c r="K142" t="s">
        <v>139</v>
      </c>
      <c r="L142" s="17"/>
      <c r="M142" s="17"/>
      <c r="N142" s="17" t="s">
        <v>257</v>
      </c>
      <c r="O142" s="36"/>
      <c r="P142" s="17"/>
      <c r="Q142" s="17"/>
      <c r="U142" t="s">
        <v>258</v>
      </c>
      <c r="V142" t="s">
        <v>258</v>
      </c>
      <c r="X142" s="31">
        <v>43984</v>
      </c>
      <c r="Y142" s="31">
        <v>43984</v>
      </c>
      <c r="AA142" s="31"/>
      <c r="AB142" t="s">
        <v>9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1</v>
      </c>
      <c r="AI142">
        <v>55036</v>
      </c>
      <c r="AJ142">
        <v>2111</v>
      </c>
      <c r="AK142">
        <v>0</v>
      </c>
      <c r="AL142">
        <v>19</v>
      </c>
      <c r="AO142" s="41"/>
      <c r="AP142" s="41"/>
      <c r="AQ142" t="str">
        <f t="shared" si="2"/>
        <v/>
      </c>
      <c r="AS142" t="str">
        <f t="shared" si="3"/>
        <v>wci_corp</v>
      </c>
    </row>
    <row r="143" spans="2:45" x14ac:dyDescent="0.2">
      <c r="B143" t="s">
        <v>166</v>
      </c>
      <c r="C143" s="31">
        <v>43982</v>
      </c>
      <c r="D143" s="15">
        <v>750</v>
      </c>
      <c r="E143" s="15">
        <v>0</v>
      </c>
      <c r="F143" s="53" t="s">
        <v>134</v>
      </c>
      <c r="G143" t="s">
        <v>255</v>
      </c>
      <c r="H143" s="41" t="s">
        <v>136</v>
      </c>
      <c r="I143" t="s">
        <v>256</v>
      </c>
      <c r="J143" t="s">
        <v>151</v>
      </c>
      <c r="K143" t="s">
        <v>139</v>
      </c>
      <c r="L143" s="17"/>
      <c r="M143" s="17"/>
      <c r="N143" s="17" t="s">
        <v>257</v>
      </c>
      <c r="O143" s="36"/>
      <c r="P143" s="17"/>
      <c r="Q143" s="17"/>
      <c r="U143" t="s">
        <v>258</v>
      </c>
      <c r="V143" t="s">
        <v>258</v>
      </c>
      <c r="X143" s="31">
        <v>43984</v>
      </c>
      <c r="Y143" s="31">
        <v>43984</v>
      </c>
      <c r="AA143" s="31"/>
      <c r="AB143" t="s">
        <v>9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1</v>
      </c>
      <c r="AI143">
        <v>56036</v>
      </c>
      <c r="AJ143">
        <v>2111</v>
      </c>
      <c r="AK143">
        <v>0</v>
      </c>
      <c r="AL143">
        <v>19</v>
      </c>
      <c r="AO143" s="41"/>
      <c r="AP143" s="41"/>
      <c r="AQ143" t="str">
        <f t="shared" si="2"/>
        <v/>
      </c>
      <c r="AS143" t="str">
        <f t="shared" si="3"/>
        <v>wci_corp</v>
      </c>
    </row>
    <row r="144" spans="2:45" x14ac:dyDescent="0.2">
      <c r="B144" t="s">
        <v>166</v>
      </c>
      <c r="C144" s="31">
        <v>43982</v>
      </c>
      <c r="D144" s="15">
        <v>500</v>
      </c>
      <c r="E144" s="15">
        <v>0</v>
      </c>
      <c r="F144" s="53" t="s">
        <v>134</v>
      </c>
      <c r="G144" t="s">
        <v>255</v>
      </c>
      <c r="H144" s="41" t="s">
        <v>136</v>
      </c>
      <c r="I144" t="s">
        <v>256</v>
      </c>
      <c r="J144" t="s">
        <v>151</v>
      </c>
      <c r="K144" t="s">
        <v>139</v>
      </c>
      <c r="L144" s="17"/>
      <c r="M144" s="17"/>
      <c r="N144" s="17" t="s">
        <v>257</v>
      </c>
      <c r="O144" s="36"/>
      <c r="P144" s="17"/>
      <c r="Q144" s="17"/>
      <c r="U144" t="s">
        <v>258</v>
      </c>
      <c r="V144" t="s">
        <v>258</v>
      </c>
      <c r="X144" s="31">
        <v>43984</v>
      </c>
      <c r="Y144" s="31">
        <v>43984</v>
      </c>
      <c r="AA144" s="31"/>
      <c r="AB144" t="s">
        <v>9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1</v>
      </c>
      <c r="AI144">
        <v>56036</v>
      </c>
      <c r="AJ144">
        <v>2111</v>
      </c>
      <c r="AK144">
        <v>0</v>
      </c>
      <c r="AL144">
        <v>19</v>
      </c>
      <c r="AO144" s="41"/>
      <c r="AP144" s="41"/>
      <c r="AQ144" t="str">
        <f t="shared" si="2"/>
        <v/>
      </c>
      <c r="AS144" t="str">
        <f t="shared" si="3"/>
        <v>wci_corp</v>
      </c>
    </row>
    <row r="145" spans="2:45" x14ac:dyDescent="0.2">
      <c r="B145" t="s">
        <v>168</v>
      </c>
      <c r="C145" s="31">
        <v>43982</v>
      </c>
      <c r="D145" s="15">
        <v>250</v>
      </c>
      <c r="E145" s="15">
        <v>0</v>
      </c>
      <c r="F145" s="53" t="s">
        <v>134</v>
      </c>
      <c r="G145" t="s">
        <v>255</v>
      </c>
      <c r="H145" s="41" t="s">
        <v>136</v>
      </c>
      <c r="I145" t="s">
        <v>256</v>
      </c>
      <c r="J145" t="s">
        <v>151</v>
      </c>
      <c r="K145" t="s">
        <v>139</v>
      </c>
      <c r="L145" s="17"/>
      <c r="M145" s="17"/>
      <c r="N145" s="17" t="s">
        <v>257</v>
      </c>
      <c r="O145" s="36"/>
      <c r="P145" s="17"/>
      <c r="Q145" s="17"/>
      <c r="U145" t="s">
        <v>258</v>
      </c>
      <c r="V145" t="s">
        <v>258</v>
      </c>
      <c r="X145" s="31">
        <v>43984</v>
      </c>
      <c r="Y145" s="31">
        <v>43984</v>
      </c>
      <c r="AA145" s="31"/>
      <c r="AB145" t="s">
        <v>9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1</v>
      </c>
      <c r="AI145">
        <v>70036</v>
      </c>
      <c r="AJ145">
        <v>2111</v>
      </c>
      <c r="AK145">
        <v>0</v>
      </c>
      <c r="AL145">
        <v>19</v>
      </c>
      <c r="AO145" s="41"/>
      <c r="AP145" s="41"/>
      <c r="AQ145" t="str">
        <f t="shared" si="2"/>
        <v/>
      </c>
      <c r="AS145" t="str">
        <f t="shared" si="3"/>
        <v>wci_corp</v>
      </c>
    </row>
    <row r="146" spans="2:45" x14ac:dyDescent="0.2">
      <c r="B146" t="s">
        <v>168</v>
      </c>
      <c r="C146" s="31">
        <v>43982</v>
      </c>
      <c r="D146" s="15">
        <v>3959.64</v>
      </c>
      <c r="E146" s="15">
        <v>0</v>
      </c>
      <c r="F146" s="53" t="s">
        <v>134</v>
      </c>
      <c r="G146" t="s">
        <v>255</v>
      </c>
      <c r="H146" s="41" t="s">
        <v>136</v>
      </c>
      <c r="I146" t="s">
        <v>256</v>
      </c>
      <c r="J146" t="s">
        <v>151</v>
      </c>
      <c r="K146" t="s">
        <v>139</v>
      </c>
      <c r="L146" s="17"/>
      <c r="M146" s="17"/>
      <c r="N146" s="17" t="s">
        <v>257</v>
      </c>
      <c r="O146" s="36"/>
      <c r="P146" s="17"/>
      <c r="Q146" s="17"/>
      <c r="U146" t="s">
        <v>258</v>
      </c>
      <c r="V146" t="s">
        <v>258</v>
      </c>
      <c r="X146" s="31">
        <v>43984</v>
      </c>
      <c r="Y146" s="31">
        <v>43984</v>
      </c>
      <c r="AA146" s="31"/>
      <c r="AB146" t="s">
        <v>9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1</v>
      </c>
      <c r="AI146">
        <v>70036</v>
      </c>
      <c r="AJ146">
        <v>2111</v>
      </c>
      <c r="AK146">
        <v>0</v>
      </c>
      <c r="AL146">
        <v>19</v>
      </c>
      <c r="AO146" s="41"/>
      <c r="AP146" s="41"/>
      <c r="AQ146" t="str">
        <f t="shared" si="2"/>
        <v/>
      </c>
      <c r="AS146" t="str">
        <f t="shared" si="3"/>
        <v>wci_corp</v>
      </c>
    </row>
    <row r="147" spans="2:45" x14ac:dyDescent="0.2">
      <c r="B147" t="s">
        <v>202</v>
      </c>
      <c r="C147" s="31">
        <v>43982</v>
      </c>
      <c r="D147" s="15">
        <v>640.32000000000005</v>
      </c>
      <c r="E147" s="15">
        <v>0</v>
      </c>
      <c r="F147" s="53" t="s">
        <v>134</v>
      </c>
      <c r="G147" t="s">
        <v>259</v>
      </c>
      <c r="H147" s="41" t="s">
        <v>136</v>
      </c>
      <c r="I147" t="s">
        <v>260</v>
      </c>
      <c r="J147" t="s">
        <v>151</v>
      </c>
      <c r="K147" t="s">
        <v>139</v>
      </c>
      <c r="L147" s="17"/>
      <c r="M147" s="17"/>
      <c r="N147" s="17" t="s">
        <v>261</v>
      </c>
      <c r="O147" s="36"/>
      <c r="P147" s="17"/>
      <c r="Q147" s="17"/>
      <c r="U147" t="s">
        <v>262</v>
      </c>
      <c r="V147" t="s">
        <v>262</v>
      </c>
      <c r="X147" s="31">
        <v>43985</v>
      </c>
      <c r="Y147" s="31">
        <v>43985</v>
      </c>
      <c r="AA147" s="31"/>
      <c r="AB147" t="s">
        <v>9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1</v>
      </c>
      <c r="AI147">
        <v>50020</v>
      </c>
      <c r="AJ147">
        <v>2111</v>
      </c>
      <c r="AK147">
        <v>0</v>
      </c>
      <c r="AL147">
        <v>19</v>
      </c>
      <c r="AO147" s="41"/>
      <c r="AP147" s="41"/>
      <c r="AQ147" t="str">
        <f t="shared" si="2"/>
        <v/>
      </c>
      <c r="AS147" t="str">
        <f t="shared" si="3"/>
        <v>wci_corp</v>
      </c>
    </row>
    <row r="148" spans="2:45" x14ac:dyDescent="0.2">
      <c r="B148" t="s">
        <v>156</v>
      </c>
      <c r="C148" s="31">
        <v>43982</v>
      </c>
      <c r="D148" s="15">
        <v>1653.24</v>
      </c>
      <c r="E148" s="15">
        <v>0</v>
      </c>
      <c r="F148" s="53" t="s">
        <v>134</v>
      </c>
      <c r="G148" t="s">
        <v>259</v>
      </c>
      <c r="H148" s="41" t="s">
        <v>136</v>
      </c>
      <c r="I148" t="s">
        <v>260</v>
      </c>
      <c r="J148" t="s">
        <v>151</v>
      </c>
      <c r="K148" t="s">
        <v>139</v>
      </c>
      <c r="L148" s="17"/>
      <c r="M148" s="17"/>
      <c r="N148" s="17" t="s">
        <v>263</v>
      </c>
      <c r="O148" s="36"/>
      <c r="P148" s="17"/>
      <c r="Q148" s="17"/>
      <c r="U148" t="s">
        <v>262</v>
      </c>
      <c r="V148" t="s">
        <v>262</v>
      </c>
      <c r="X148" s="31">
        <v>43985</v>
      </c>
      <c r="Y148" s="31">
        <v>43985</v>
      </c>
      <c r="AA148" s="31"/>
      <c r="AB148" t="s">
        <v>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1</v>
      </c>
      <c r="AI148">
        <v>50036</v>
      </c>
      <c r="AJ148">
        <v>2111</v>
      </c>
      <c r="AK148">
        <v>0</v>
      </c>
      <c r="AL148">
        <v>19</v>
      </c>
      <c r="AO148" s="41"/>
      <c r="AP148" s="41"/>
      <c r="AQ148" t="str">
        <f t="shared" si="2"/>
        <v/>
      </c>
      <c r="AS148" t="str">
        <f t="shared" si="3"/>
        <v>wci_corp</v>
      </c>
    </row>
    <row r="149" spans="2:45" x14ac:dyDescent="0.2">
      <c r="B149" t="s">
        <v>156</v>
      </c>
      <c r="C149" s="31">
        <v>43982</v>
      </c>
      <c r="D149" s="15">
        <v>869.9</v>
      </c>
      <c r="E149" s="15">
        <v>0</v>
      </c>
      <c r="F149" s="53" t="s">
        <v>134</v>
      </c>
      <c r="G149" t="s">
        <v>259</v>
      </c>
      <c r="H149" s="41" t="s">
        <v>136</v>
      </c>
      <c r="I149" t="s">
        <v>260</v>
      </c>
      <c r="J149" t="s">
        <v>151</v>
      </c>
      <c r="K149" t="s">
        <v>139</v>
      </c>
      <c r="L149" s="17"/>
      <c r="M149" s="17"/>
      <c r="N149" s="17" t="s">
        <v>264</v>
      </c>
      <c r="O149" s="36"/>
      <c r="P149" s="17"/>
      <c r="Q149" s="17"/>
      <c r="U149" t="s">
        <v>262</v>
      </c>
      <c r="V149" t="s">
        <v>262</v>
      </c>
      <c r="X149" s="31">
        <v>43985</v>
      </c>
      <c r="Y149" s="31">
        <v>43985</v>
      </c>
      <c r="AA149" s="31"/>
      <c r="AB149" t="s">
        <v>9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1</v>
      </c>
      <c r="AI149">
        <v>50036</v>
      </c>
      <c r="AJ149">
        <v>2111</v>
      </c>
      <c r="AK149">
        <v>0</v>
      </c>
      <c r="AL149">
        <v>19</v>
      </c>
      <c r="AO149" s="41"/>
      <c r="AP149" s="41"/>
      <c r="AQ149" t="str">
        <f t="shared" ref="AQ149:AQ212" si="4">IF(LEFT(U149,2)="VO",U149,"")</f>
        <v/>
      </c>
      <c r="AS149" t="str">
        <f t="shared" ref="AS149:AS212" si="5">IF(RIGHT(K149,2)="IC",IF(OR(AB149="wci_canada",AB149="wci_can_corp"),"wci_can_Corp","wci_corp"),AB149)</f>
        <v>wci_corp</v>
      </c>
    </row>
    <row r="150" spans="2:45" x14ac:dyDescent="0.2">
      <c r="B150" t="s">
        <v>193</v>
      </c>
      <c r="C150" s="31">
        <v>43982</v>
      </c>
      <c r="D150" s="15">
        <v>9832.42</v>
      </c>
      <c r="E150" s="15">
        <v>0</v>
      </c>
      <c r="F150" s="53" t="s">
        <v>134</v>
      </c>
      <c r="G150" t="s">
        <v>259</v>
      </c>
      <c r="H150" s="41" t="s">
        <v>136</v>
      </c>
      <c r="I150" t="s">
        <v>260</v>
      </c>
      <c r="J150" t="s">
        <v>151</v>
      </c>
      <c r="K150" t="s">
        <v>139</v>
      </c>
      <c r="L150" s="17"/>
      <c r="M150" s="17"/>
      <c r="N150" s="17" t="s">
        <v>263</v>
      </c>
      <c r="O150" s="36"/>
      <c r="P150" s="17"/>
      <c r="Q150" s="17"/>
      <c r="U150" t="s">
        <v>262</v>
      </c>
      <c r="V150" t="s">
        <v>262</v>
      </c>
      <c r="X150" s="31">
        <v>43985</v>
      </c>
      <c r="Y150" s="31">
        <v>43985</v>
      </c>
      <c r="AA150" s="31"/>
      <c r="AB150" t="s">
        <v>9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</v>
      </c>
      <c r="AI150">
        <v>50036</v>
      </c>
      <c r="AJ150">
        <v>2111</v>
      </c>
      <c r="AK150">
        <v>100</v>
      </c>
      <c r="AL150">
        <v>19</v>
      </c>
      <c r="AO150" s="41"/>
      <c r="AP150" s="41"/>
      <c r="AQ150" t="str">
        <f t="shared" si="4"/>
        <v/>
      </c>
      <c r="AS150" t="str">
        <f t="shared" si="5"/>
        <v>wci_corp</v>
      </c>
    </row>
    <row r="151" spans="2:45" x14ac:dyDescent="0.2">
      <c r="B151" t="s">
        <v>193</v>
      </c>
      <c r="C151" s="31">
        <v>43982</v>
      </c>
      <c r="D151" s="15">
        <v>4846.46</v>
      </c>
      <c r="E151" s="15">
        <v>0</v>
      </c>
      <c r="F151" s="53" t="s">
        <v>134</v>
      </c>
      <c r="G151" t="s">
        <v>259</v>
      </c>
      <c r="H151" s="41" t="s">
        <v>136</v>
      </c>
      <c r="I151" t="s">
        <v>260</v>
      </c>
      <c r="J151" t="s">
        <v>151</v>
      </c>
      <c r="K151" t="s">
        <v>139</v>
      </c>
      <c r="L151" s="17"/>
      <c r="M151" s="17"/>
      <c r="N151" s="17" t="s">
        <v>264</v>
      </c>
      <c r="O151" s="36"/>
      <c r="P151" s="17"/>
      <c r="Q151" s="17"/>
      <c r="U151" t="s">
        <v>262</v>
      </c>
      <c r="V151" t="s">
        <v>262</v>
      </c>
      <c r="X151" s="31">
        <v>43985</v>
      </c>
      <c r="Y151" s="31">
        <v>43985</v>
      </c>
      <c r="AA151" s="31"/>
      <c r="AB151" t="s">
        <v>9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1</v>
      </c>
      <c r="AI151">
        <v>50036</v>
      </c>
      <c r="AJ151">
        <v>2111</v>
      </c>
      <c r="AK151">
        <v>100</v>
      </c>
      <c r="AL151">
        <v>19</v>
      </c>
      <c r="AO151" s="41"/>
      <c r="AP151" s="41"/>
      <c r="AQ151" t="str">
        <f t="shared" si="4"/>
        <v/>
      </c>
      <c r="AS151" t="str">
        <f t="shared" si="5"/>
        <v>wci_corp</v>
      </c>
    </row>
    <row r="152" spans="2:45" x14ac:dyDescent="0.2">
      <c r="B152" t="s">
        <v>194</v>
      </c>
      <c r="C152" s="31">
        <v>43982</v>
      </c>
      <c r="D152" s="15">
        <v>7926.74</v>
      </c>
      <c r="E152" s="15">
        <v>0</v>
      </c>
      <c r="F152" s="53" t="s">
        <v>134</v>
      </c>
      <c r="G152" t="s">
        <v>259</v>
      </c>
      <c r="H152" s="41" t="s">
        <v>136</v>
      </c>
      <c r="I152" t="s">
        <v>260</v>
      </c>
      <c r="J152" t="s">
        <v>151</v>
      </c>
      <c r="K152" t="s">
        <v>139</v>
      </c>
      <c r="L152" s="17"/>
      <c r="M152" s="17"/>
      <c r="N152" s="17" t="s">
        <v>263</v>
      </c>
      <c r="O152" s="36"/>
      <c r="P152" s="17"/>
      <c r="Q152" s="17"/>
      <c r="U152" t="s">
        <v>262</v>
      </c>
      <c r="V152" t="s">
        <v>262</v>
      </c>
      <c r="X152" s="31">
        <v>43985</v>
      </c>
      <c r="Y152" s="31">
        <v>43985</v>
      </c>
      <c r="AA152" s="31"/>
      <c r="AB152" t="s">
        <v>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1</v>
      </c>
      <c r="AI152">
        <v>50036</v>
      </c>
      <c r="AJ152">
        <v>2111</v>
      </c>
      <c r="AK152">
        <v>200</v>
      </c>
      <c r="AL152">
        <v>19</v>
      </c>
      <c r="AO152" s="41"/>
      <c r="AP152" s="41"/>
      <c r="AQ152" t="str">
        <f t="shared" si="4"/>
        <v/>
      </c>
      <c r="AS152" t="str">
        <f t="shared" si="5"/>
        <v>wci_corp</v>
      </c>
    </row>
    <row r="153" spans="2:45" x14ac:dyDescent="0.2">
      <c r="B153" t="s">
        <v>194</v>
      </c>
      <c r="C153" s="31">
        <v>43982</v>
      </c>
      <c r="D153" s="15">
        <v>3675.1</v>
      </c>
      <c r="E153" s="15">
        <v>0</v>
      </c>
      <c r="F153" s="53" t="s">
        <v>134</v>
      </c>
      <c r="G153" t="s">
        <v>259</v>
      </c>
      <c r="H153" s="41" t="s">
        <v>136</v>
      </c>
      <c r="I153" t="s">
        <v>260</v>
      </c>
      <c r="J153" t="s">
        <v>151</v>
      </c>
      <c r="K153" t="s">
        <v>139</v>
      </c>
      <c r="L153" s="17"/>
      <c r="M153" s="17"/>
      <c r="N153" s="17" t="s">
        <v>264</v>
      </c>
      <c r="O153" s="36"/>
      <c r="P153" s="17"/>
      <c r="Q153" s="17"/>
      <c r="U153" t="s">
        <v>262</v>
      </c>
      <c r="V153" t="s">
        <v>262</v>
      </c>
      <c r="X153" s="31">
        <v>43985</v>
      </c>
      <c r="Y153" s="31">
        <v>43985</v>
      </c>
      <c r="AA153" s="31"/>
      <c r="AB153" t="s">
        <v>9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1</v>
      </c>
      <c r="AI153">
        <v>50036</v>
      </c>
      <c r="AJ153">
        <v>2111</v>
      </c>
      <c r="AK153">
        <v>200</v>
      </c>
      <c r="AL153">
        <v>19</v>
      </c>
      <c r="AO153" s="41"/>
      <c r="AP153" s="41"/>
      <c r="AQ153" t="str">
        <f t="shared" si="4"/>
        <v/>
      </c>
      <c r="AS153" t="str">
        <f t="shared" si="5"/>
        <v>wci_corp</v>
      </c>
    </row>
    <row r="154" spans="2:45" x14ac:dyDescent="0.2">
      <c r="B154" t="s">
        <v>195</v>
      </c>
      <c r="C154" s="31">
        <v>43982</v>
      </c>
      <c r="D154" s="15">
        <v>389.76</v>
      </c>
      <c r="E154" s="15">
        <v>0</v>
      </c>
      <c r="F154" s="53" t="s">
        <v>134</v>
      </c>
      <c r="G154" t="s">
        <v>259</v>
      </c>
      <c r="H154" s="41" t="s">
        <v>136</v>
      </c>
      <c r="I154" t="s">
        <v>260</v>
      </c>
      <c r="J154" t="s">
        <v>151</v>
      </c>
      <c r="K154" t="s">
        <v>139</v>
      </c>
      <c r="L154" s="17"/>
      <c r="M154" s="17"/>
      <c r="N154" s="17" t="s">
        <v>263</v>
      </c>
      <c r="O154" s="36"/>
      <c r="P154" s="17"/>
      <c r="Q154" s="17"/>
      <c r="U154" t="s">
        <v>262</v>
      </c>
      <c r="V154" t="s">
        <v>262</v>
      </c>
      <c r="X154" s="31">
        <v>43985</v>
      </c>
      <c r="Y154" s="31">
        <v>43985</v>
      </c>
      <c r="AA154" s="31"/>
      <c r="AB154" t="s">
        <v>9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1</v>
      </c>
      <c r="AI154">
        <v>50036</v>
      </c>
      <c r="AJ154">
        <v>2111</v>
      </c>
      <c r="AK154">
        <v>201</v>
      </c>
      <c r="AL154">
        <v>19</v>
      </c>
      <c r="AO154" s="41"/>
      <c r="AP154" s="41"/>
      <c r="AQ154" t="str">
        <f t="shared" si="4"/>
        <v/>
      </c>
      <c r="AS154" t="str">
        <f t="shared" si="5"/>
        <v>wci_corp</v>
      </c>
    </row>
    <row r="155" spans="2:45" x14ac:dyDescent="0.2">
      <c r="B155" t="s">
        <v>195</v>
      </c>
      <c r="C155" s="31">
        <v>43982</v>
      </c>
      <c r="D155" s="15">
        <v>206.36</v>
      </c>
      <c r="E155" s="15">
        <v>0</v>
      </c>
      <c r="F155" s="53" t="s">
        <v>134</v>
      </c>
      <c r="G155" t="s">
        <v>259</v>
      </c>
      <c r="H155" s="41" t="s">
        <v>136</v>
      </c>
      <c r="I155" t="s">
        <v>260</v>
      </c>
      <c r="J155" t="s">
        <v>151</v>
      </c>
      <c r="K155" t="s">
        <v>139</v>
      </c>
      <c r="L155" s="17"/>
      <c r="M155" s="17"/>
      <c r="N155" s="17" t="s">
        <v>264</v>
      </c>
      <c r="O155" s="36"/>
      <c r="P155" s="17"/>
      <c r="Q155" s="17"/>
      <c r="U155" t="s">
        <v>262</v>
      </c>
      <c r="V155" t="s">
        <v>262</v>
      </c>
      <c r="X155" s="31">
        <v>43985</v>
      </c>
      <c r="Y155" s="31">
        <v>43985</v>
      </c>
      <c r="AA155" s="31"/>
      <c r="AB155" t="s">
        <v>9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1</v>
      </c>
      <c r="AI155">
        <v>50036</v>
      </c>
      <c r="AJ155">
        <v>2111</v>
      </c>
      <c r="AK155">
        <v>201</v>
      </c>
      <c r="AL155">
        <v>19</v>
      </c>
      <c r="AO155" s="41"/>
      <c r="AP155" s="41"/>
      <c r="AQ155" t="str">
        <f t="shared" si="4"/>
        <v/>
      </c>
      <c r="AS155" t="str">
        <f t="shared" si="5"/>
        <v>wci_corp</v>
      </c>
    </row>
    <row r="156" spans="2:45" x14ac:dyDescent="0.2">
      <c r="B156" t="s">
        <v>196</v>
      </c>
      <c r="C156" s="31">
        <v>43982</v>
      </c>
      <c r="D156" s="15">
        <v>2188.2399999999998</v>
      </c>
      <c r="E156" s="15">
        <v>0</v>
      </c>
      <c r="F156" s="53" t="s">
        <v>134</v>
      </c>
      <c r="G156" t="s">
        <v>259</v>
      </c>
      <c r="H156" s="41" t="s">
        <v>136</v>
      </c>
      <c r="I156" t="s">
        <v>260</v>
      </c>
      <c r="J156" t="s">
        <v>151</v>
      </c>
      <c r="K156" t="s">
        <v>139</v>
      </c>
      <c r="L156" s="17"/>
      <c r="M156" s="17"/>
      <c r="N156" s="17" t="s">
        <v>263</v>
      </c>
      <c r="O156" s="36"/>
      <c r="P156" s="17"/>
      <c r="Q156" s="17"/>
      <c r="U156" t="s">
        <v>262</v>
      </c>
      <c r="V156" t="s">
        <v>262</v>
      </c>
      <c r="X156" s="31">
        <v>43985</v>
      </c>
      <c r="Y156" s="31">
        <v>43985</v>
      </c>
      <c r="AA156" s="31"/>
      <c r="AB156" t="s">
        <v>9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1</v>
      </c>
      <c r="AI156">
        <v>50036</v>
      </c>
      <c r="AJ156">
        <v>2111</v>
      </c>
      <c r="AK156">
        <v>210</v>
      </c>
      <c r="AL156">
        <v>19</v>
      </c>
      <c r="AO156" s="41"/>
      <c r="AP156" s="41"/>
      <c r="AQ156" t="str">
        <f t="shared" si="4"/>
        <v/>
      </c>
      <c r="AS156" t="str">
        <f t="shared" si="5"/>
        <v>wci_corp</v>
      </c>
    </row>
    <row r="157" spans="2:45" x14ac:dyDescent="0.2">
      <c r="B157" t="s">
        <v>196</v>
      </c>
      <c r="C157" s="31">
        <v>43982</v>
      </c>
      <c r="D157" s="15">
        <v>1201.68</v>
      </c>
      <c r="E157" s="15">
        <v>0</v>
      </c>
      <c r="F157" s="53" t="s">
        <v>134</v>
      </c>
      <c r="G157" t="s">
        <v>259</v>
      </c>
      <c r="H157" s="41" t="s">
        <v>136</v>
      </c>
      <c r="I157" t="s">
        <v>260</v>
      </c>
      <c r="J157" t="s">
        <v>151</v>
      </c>
      <c r="K157" t="s">
        <v>139</v>
      </c>
      <c r="L157" s="17"/>
      <c r="M157" s="17"/>
      <c r="N157" s="17" t="s">
        <v>264</v>
      </c>
      <c r="O157" s="36"/>
      <c r="P157" s="17"/>
      <c r="Q157" s="17"/>
      <c r="U157" t="s">
        <v>262</v>
      </c>
      <c r="V157" t="s">
        <v>262</v>
      </c>
      <c r="X157" s="31">
        <v>43985</v>
      </c>
      <c r="Y157" s="31">
        <v>43985</v>
      </c>
      <c r="AA157" s="31"/>
      <c r="AB157" t="s">
        <v>9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1</v>
      </c>
      <c r="AI157">
        <v>50036</v>
      </c>
      <c r="AJ157">
        <v>2111</v>
      </c>
      <c r="AK157">
        <v>210</v>
      </c>
      <c r="AL157">
        <v>19</v>
      </c>
      <c r="AO157" s="41"/>
      <c r="AP157" s="41"/>
      <c r="AQ157" t="str">
        <f t="shared" si="4"/>
        <v/>
      </c>
      <c r="AS157" t="str">
        <f t="shared" si="5"/>
        <v>wci_corp</v>
      </c>
    </row>
    <row r="158" spans="2:45" x14ac:dyDescent="0.2">
      <c r="B158" t="s">
        <v>197</v>
      </c>
      <c r="C158" s="31">
        <v>43982</v>
      </c>
      <c r="D158" s="15">
        <v>2705.58</v>
      </c>
      <c r="E158" s="15">
        <v>0</v>
      </c>
      <c r="F158" s="53" t="s">
        <v>134</v>
      </c>
      <c r="G158" t="s">
        <v>259</v>
      </c>
      <c r="H158" s="41" t="s">
        <v>136</v>
      </c>
      <c r="I158" t="s">
        <v>260</v>
      </c>
      <c r="J158" t="s">
        <v>151</v>
      </c>
      <c r="K158" t="s">
        <v>139</v>
      </c>
      <c r="L158" s="17"/>
      <c r="M158" s="17"/>
      <c r="N158" s="17" t="s">
        <v>263</v>
      </c>
      <c r="O158" s="36"/>
      <c r="P158" s="17"/>
      <c r="Q158" s="17"/>
      <c r="U158" t="s">
        <v>262</v>
      </c>
      <c r="V158" t="s">
        <v>262</v>
      </c>
      <c r="X158" s="31">
        <v>43985</v>
      </c>
      <c r="Y158" s="31">
        <v>43985</v>
      </c>
      <c r="AA158" s="31"/>
      <c r="AB158" t="s">
        <v>9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1</v>
      </c>
      <c r="AI158">
        <v>50036</v>
      </c>
      <c r="AJ158">
        <v>2111</v>
      </c>
      <c r="AK158">
        <v>300</v>
      </c>
      <c r="AL158">
        <v>19</v>
      </c>
      <c r="AO158" s="41"/>
      <c r="AP158" s="41"/>
      <c r="AQ158" t="str">
        <f t="shared" si="4"/>
        <v/>
      </c>
      <c r="AS158" t="str">
        <f t="shared" si="5"/>
        <v>wci_corp</v>
      </c>
    </row>
    <row r="159" spans="2:45" x14ac:dyDescent="0.2">
      <c r="B159" t="s">
        <v>197</v>
      </c>
      <c r="C159" s="31">
        <v>43982</v>
      </c>
      <c r="D159" s="15">
        <v>1288.3599999999999</v>
      </c>
      <c r="E159" s="15">
        <v>0</v>
      </c>
      <c r="F159" s="53" t="s">
        <v>134</v>
      </c>
      <c r="G159" t="s">
        <v>259</v>
      </c>
      <c r="H159" s="41" t="s">
        <v>136</v>
      </c>
      <c r="I159" t="s">
        <v>260</v>
      </c>
      <c r="J159" t="s">
        <v>151</v>
      </c>
      <c r="K159" t="s">
        <v>139</v>
      </c>
      <c r="L159" s="17"/>
      <c r="M159" s="17"/>
      <c r="N159" s="17" t="s">
        <v>264</v>
      </c>
      <c r="O159" s="36"/>
      <c r="P159" s="17"/>
      <c r="Q159" s="17"/>
      <c r="U159" t="s">
        <v>262</v>
      </c>
      <c r="V159" t="s">
        <v>262</v>
      </c>
      <c r="X159" s="31">
        <v>43985</v>
      </c>
      <c r="Y159" s="31">
        <v>43985</v>
      </c>
      <c r="AA159" s="31"/>
      <c r="AB159" t="s">
        <v>9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1</v>
      </c>
      <c r="AI159">
        <v>50036</v>
      </c>
      <c r="AJ159">
        <v>2111</v>
      </c>
      <c r="AK159">
        <v>300</v>
      </c>
      <c r="AL159">
        <v>19</v>
      </c>
      <c r="AO159" s="41"/>
      <c r="AP159" s="41"/>
      <c r="AQ159" t="str">
        <f t="shared" si="4"/>
        <v/>
      </c>
      <c r="AS159" t="str">
        <f t="shared" si="5"/>
        <v>wci_corp</v>
      </c>
    </row>
    <row r="160" spans="2:45" x14ac:dyDescent="0.2">
      <c r="B160" t="s">
        <v>198</v>
      </c>
      <c r="C160" s="31">
        <v>43982</v>
      </c>
      <c r="D160" s="15">
        <v>1056.6199999999999</v>
      </c>
      <c r="E160" s="15">
        <v>0</v>
      </c>
      <c r="F160" s="53" t="s">
        <v>134</v>
      </c>
      <c r="G160" t="s">
        <v>259</v>
      </c>
      <c r="H160" s="41" t="s">
        <v>136</v>
      </c>
      <c r="I160" t="s">
        <v>260</v>
      </c>
      <c r="J160" t="s">
        <v>151</v>
      </c>
      <c r="K160" t="s">
        <v>139</v>
      </c>
      <c r="L160" s="17"/>
      <c r="M160" s="17"/>
      <c r="N160" s="17" t="s">
        <v>263</v>
      </c>
      <c r="O160" s="36"/>
      <c r="P160" s="17"/>
      <c r="Q160" s="17"/>
      <c r="U160" t="s">
        <v>262</v>
      </c>
      <c r="V160" t="s">
        <v>262</v>
      </c>
      <c r="X160" s="31">
        <v>43985</v>
      </c>
      <c r="Y160" s="31">
        <v>43985</v>
      </c>
      <c r="AA160" s="31"/>
      <c r="AB160" t="s">
        <v>9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1</v>
      </c>
      <c r="AI160">
        <v>50036</v>
      </c>
      <c r="AJ160">
        <v>2111</v>
      </c>
      <c r="AK160">
        <v>500</v>
      </c>
      <c r="AL160">
        <v>19</v>
      </c>
      <c r="AO160" s="41"/>
      <c r="AP160" s="41"/>
      <c r="AQ160" t="str">
        <f t="shared" si="4"/>
        <v/>
      </c>
      <c r="AS160" t="str">
        <f t="shared" si="5"/>
        <v>wci_corp</v>
      </c>
    </row>
    <row r="161" spans="2:45" x14ac:dyDescent="0.2">
      <c r="B161" t="s">
        <v>198</v>
      </c>
      <c r="C161" s="31">
        <v>43982</v>
      </c>
      <c r="D161" s="15">
        <v>535.17999999999995</v>
      </c>
      <c r="E161" s="15">
        <v>0</v>
      </c>
      <c r="F161" s="53" t="s">
        <v>134</v>
      </c>
      <c r="G161" t="s">
        <v>259</v>
      </c>
      <c r="H161" s="41" t="s">
        <v>136</v>
      </c>
      <c r="I161" t="s">
        <v>260</v>
      </c>
      <c r="J161" t="s">
        <v>151</v>
      </c>
      <c r="K161" t="s">
        <v>139</v>
      </c>
      <c r="L161" s="17"/>
      <c r="M161" s="17"/>
      <c r="N161" s="17" t="s">
        <v>264</v>
      </c>
      <c r="O161" s="36"/>
      <c r="P161" s="17"/>
      <c r="Q161" s="17"/>
      <c r="U161" t="s">
        <v>262</v>
      </c>
      <c r="V161" t="s">
        <v>262</v>
      </c>
      <c r="X161" s="31">
        <v>43985</v>
      </c>
      <c r="Y161" s="31">
        <v>43985</v>
      </c>
      <c r="AA161" s="31"/>
      <c r="AB161" t="s">
        <v>9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1</v>
      </c>
      <c r="AI161">
        <v>50036</v>
      </c>
      <c r="AJ161">
        <v>2111</v>
      </c>
      <c r="AK161">
        <v>500</v>
      </c>
      <c r="AL161">
        <v>19</v>
      </c>
      <c r="AO161" s="41"/>
      <c r="AP161" s="41"/>
      <c r="AQ161" t="str">
        <f t="shared" si="4"/>
        <v/>
      </c>
      <c r="AS161" t="str">
        <f t="shared" si="5"/>
        <v>wci_corp</v>
      </c>
    </row>
    <row r="162" spans="2:45" x14ac:dyDescent="0.2">
      <c r="B162" t="s">
        <v>162</v>
      </c>
      <c r="C162" s="31">
        <v>43982</v>
      </c>
      <c r="D162" s="15">
        <v>4309.26</v>
      </c>
      <c r="E162" s="15">
        <v>0</v>
      </c>
      <c r="F162" s="53" t="s">
        <v>134</v>
      </c>
      <c r="G162" t="s">
        <v>259</v>
      </c>
      <c r="H162" s="41" t="s">
        <v>136</v>
      </c>
      <c r="I162" t="s">
        <v>260</v>
      </c>
      <c r="J162" t="s">
        <v>151</v>
      </c>
      <c r="K162" t="s">
        <v>139</v>
      </c>
      <c r="L162" s="17"/>
      <c r="M162" s="17"/>
      <c r="N162" s="17" t="s">
        <v>263</v>
      </c>
      <c r="O162" s="36"/>
      <c r="P162" s="17"/>
      <c r="Q162" s="17"/>
      <c r="U162" t="s">
        <v>262</v>
      </c>
      <c r="V162" t="s">
        <v>262</v>
      </c>
      <c r="X162" s="31">
        <v>43985</v>
      </c>
      <c r="Y162" s="31">
        <v>43985</v>
      </c>
      <c r="AA162" s="31"/>
      <c r="AB162" t="s">
        <v>9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1</v>
      </c>
      <c r="AI162">
        <v>52036</v>
      </c>
      <c r="AJ162">
        <v>2111</v>
      </c>
      <c r="AK162">
        <v>0</v>
      </c>
      <c r="AL162">
        <v>19</v>
      </c>
      <c r="AO162" s="41"/>
      <c r="AP162" s="41"/>
      <c r="AQ162" t="str">
        <f t="shared" si="4"/>
        <v/>
      </c>
      <c r="AS162" t="str">
        <f t="shared" si="5"/>
        <v>wci_corp</v>
      </c>
    </row>
    <row r="163" spans="2:45" x14ac:dyDescent="0.2">
      <c r="B163" t="s">
        <v>162</v>
      </c>
      <c r="C163" s="31">
        <v>43982</v>
      </c>
      <c r="D163" s="15">
        <v>2216.9</v>
      </c>
      <c r="E163" s="15">
        <v>0</v>
      </c>
      <c r="F163" s="53" t="s">
        <v>134</v>
      </c>
      <c r="G163" t="s">
        <v>259</v>
      </c>
      <c r="H163" s="41" t="s">
        <v>136</v>
      </c>
      <c r="I163" t="s">
        <v>260</v>
      </c>
      <c r="J163" t="s">
        <v>151</v>
      </c>
      <c r="K163" t="s">
        <v>139</v>
      </c>
      <c r="L163" s="17"/>
      <c r="M163" s="17"/>
      <c r="N163" s="17" t="s">
        <v>264</v>
      </c>
      <c r="O163" s="36"/>
      <c r="P163" s="17"/>
      <c r="Q163" s="17"/>
      <c r="U163" t="s">
        <v>262</v>
      </c>
      <c r="V163" t="s">
        <v>262</v>
      </c>
      <c r="X163" s="31">
        <v>43985</v>
      </c>
      <c r="Y163" s="31">
        <v>43985</v>
      </c>
      <c r="AA163" s="31"/>
      <c r="AB163" t="s">
        <v>9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1</v>
      </c>
      <c r="AI163">
        <v>52036</v>
      </c>
      <c r="AJ163">
        <v>2111</v>
      </c>
      <c r="AK163">
        <v>0</v>
      </c>
      <c r="AL163">
        <v>19</v>
      </c>
      <c r="AO163" s="41"/>
      <c r="AP163" s="41"/>
      <c r="AQ163" t="str">
        <f t="shared" si="4"/>
        <v/>
      </c>
      <c r="AS163" t="str">
        <f t="shared" si="5"/>
        <v>wci_corp</v>
      </c>
    </row>
    <row r="164" spans="2:45" x14ac:dyDescent="0.2">
      <c r="B164" t="s">
        <v>164</v>
      </c>
      <c r="C164" s="31">
        <v>43982</v>
      </c>
      <c r="D164" s="15">
        <v>1070.3399999999999</v>
      </c>
      <c r="E164" s="15">
        <v>0</v>
      </c>
      <c r="F164" s="53" t="s">
        <v>134</v>
      </c>
      <c r="G164" t="s">
        <v>259</v>
      </c>
      <c r="H164" s="41" t="s">
        <v>136</v>
      </c>
      <c r="I164" t="s">
        <v>260</v>
      </c>
      <c r="J164" t="s">
        <v>151</v>
      </c>
      <c r="K164" t="s">
        <v>139</v>
      </c>
      <c r="L164" s="17"/>
      <c r="M164" s="17"/>
      <c r="N164" s="17" t="s">
        <v>263</v>
      </c>
      <c r="O164" s="36"/>
      <c r="P164" s="17"/>
      <c r="Q164" s="17"/>
      <c r="U164" t="s">
        <v>262</v>
      </c>
      <c r="V164" t="s">
        <v>262</v>
      </c>
      <c r="X164" s="31">
        <v>43985</v>
      </c>
      <c r="Y164" s="31">
        <v>43985</v>
      </c>
      <c r="AA164" s="31"/>
      <c r="AB164" t="s">
        <v>9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1</v>
      </c>
      <c r="AI164">
        <v>55036</v>
      </c>
      <c r="AJ164">
        <v>2111</v>
      </c>
      <c r="AK164">
        <v>0</v>
      </c>
      <c r="AL164">
        <v>19</v>
      </c>
      <c r="AO164" s="41"/>
      <c r="AP164" s="41"/>
      <c r="AQ164" t="str">
        <f t="shared" si="4"/>
        <v/>
      </c>
      <c r="AS164" t="str">
        <f t="shared" si="5"/>
        <v>wci_corp</v>
      </c>
    </row>
    <row r="165" spans="2:45" x14ac:dyDescent="0.2">
      <c r="B165" t="s">
        <v>164</v>
      </c>
      <c r="C165" s="31">
        <v>43982</v>
      </c>
      <c r="D165" s="15">
        <v>571.44000000000005</v>
      </c>
      <c r="E165" s="15">
        <v>0</v>
      </c>
      <c r="F165" s="53" t="s">
        <v>134</v>
      </c>
      <c r="G165" t="s">
        <v>259</v>
      </c>
      <c r="H165" s="41" t="s">
        <v>136</v>
      </c>
      <c r="I165" t="s">
        <v>260</v>
      </c>
      <c r="J165" t="s">
        <v>151</v>
      </c>
      <c r="K165" t="s">
        <v>139</v>
      </c>
      <c r="L165" s="17"/>
      <c r="M165" s="17"/>
      <c r="N165" s="17" t="s">
        <v>264</v>
      </c>
      <c r="O165" s="36"/>
      <c r="P165" s="17"/>
      <c r="Q165" s="17"/>
      <c r="U165" t="s">
        <v>262</v>
      </c>
      <c r="V165" t="s">
        <v>262</v>
      </c>
      <c r="X165" s="31">
        <v>43985</v>
      </c>
      <c r="Y165" s="31">
        <v>43985</v>
      </c>
      <c r="AA165" s="31"/>
      <c r="AB165" t="s">
        <v>9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1</v>
      </c>
      <c r="AI165">
        <v>55036</v>
      </c>
      <c r="AJ165">
        <v>2111</v>
      </c>
      <c r="AK165">
        <v>0</v>
      </c>
      <c r="AL165">
        <v>19</v>
      </c>
      <c r="AO165" s="41"/>
      <c r="AP165" s="41"/>
      <c r="AQ165" t="str">
        <f t="shared" si="4"/>
        <v/>
      </c>
      <c r="AS165" t="str">
        <f t="shared" si="5"/>
        <v>wci_corp</v>
      </c>
    </row>
    <row r="166" spans="2:45" x14ac:dyDescent="0.2">
      <c r="B166" t="s">
        <v>166</v>
      </c>
      <c r="C166" s="31">
        <v>43982</v>
      </c>
      <c r="D166" s="15">
        <v>500</v>
      </c>
      <c r="E166" s="15">
        <v>0</v>
      </c>
      <c r="F166" s="53" t="s">
        <v>134</v>
      </c>
      <c r="G166" t="s">
        <v>259</v>
      </c>
      <c r="H166" s="41" t="s">
        <v>136</v>
      </c>
      <c r="I166" t="s">
        <v>260</v>
      </c>
      <c r="J166" t="s">
        <v>151</v>
      </c>
      <c r="K166" t="s">
        <v>139</v>
      </c>
      <c r="L166" s="17"/>
      <c r="M166" s="17"/>
      <c r="N166" s="17" t="s">
        <v>263</v>
      </c>
      <c r="O166" s="36"/>
      <c r="P166" s="17"/>
      <c r="Q166" s="17"/>
      <c r="U166" t="s">
        <v>262</v>
      </c>
      <c r="V166" t="s">
        <v>262</v>
      </c>
      <c r="X166" s="31">
        <v>43985</v>
      </c>
      <c r="Y166" s="31">
        <v>43985</v>
      </c>
      <c r="AA166" s="31"/>
      <c r="AB166" t="s">
        <v>9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1</v>
      </c>
      <c r="AI166">
        <v>56036</v>
      </c>
      <c r="AJ166">
        <v>2111</v>
      </c>
      <c r="AK166">
        <v>0</v>
      </c>
      <c r="AL166">
        <v>19</v>
      </c>
      <c r="AO166" s="41"/>
      <c r="AP166" s="41"/>
      <c r="AQ166" t="str">
        <f t="shared" si="4"/>
        <v/>
      </c>
      <c r="AS166" t="str">
        <f t="shared" si="5"/>
        <v>wci_corp</v>
      </c>
    </row>
    <row r="167" spans="2:45" x14ac:dyDescent="0.2">
      <c r="B167" t="s">
        <v>166</v>
      </c>
      <c r="C167" s="31">
        <v>43982</v>
      </c>
      <c r="D167" s="15">
        <v>250</v>
      </c>
      <c r="E167" s="15">
        <v>0</v>
      </c>
      <c r="F167" s="53" t="s">
        <v>134</v>
      </c>
      <c r="G167" t="s">
        <v>259</v>
      </c>
      <c r="H167" s="41" t="s">
        <v>136</v>
      </c>
      <c r="I167" t="s">
        <v>260</v>
      </c>
      <c r="J167" t="s">
        <v>151</v>
      </c>
      <c r="K167" t="s">
        <v>139</v>
      </c>
      <c r="L167" s="17"/>
      <c r="M167" s="17"/>
      <c r="N167" s="17" t="s">
        <v>264</v>
      </c>
      <c r="O167" s="36"/>
      <c r="P167" s="17"/>
      <c r="Q167" s="17"/>
      <c r="U167" t="s">
        <v>262</v>
      </c>
      <c r="V167" t="s">
        <v>262</v>
      </c>
      <c r="X167" s="31">
        <v>43985</v>
      </c>
      <c r="Y167" s="31">
        <v>43985</v>
      </c>
      <c r="AA167" s="31"/>
      <c r="AB167" t="s">
        <v>9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1</v>
      </c>
      <c r="AI167">
        <v>56036</v>
      </c>
      <c r="AJ167">
        <v>2111</v>
      </c>
      <c r="AK167">
        <v>0</v>
      </c>
      <c r="AL167">
        <v>19</v>
      </c>
      <c r="AO167" s="41"/>
      <c r="AP167" s="41"/>
      <c r="AQ167" t="str">
        <f t="shared" si="4"/>
        <v/>
      </c>
      <c r="AS167" t="str">
        <f t="shared" si="5"/>
        <v>wci_corp</v>
      </c>
    </row>
    <row r="168" spans="2:45" x14ac:dyDescent="0.2">
      <c r="B168" t="s">
        <v>201</v>
      </c>
      <c r="C168" s="31">
        <v>43982</v>
      </c>
      <c r="D168" s="15">
        <v>750</v>
      </c>
      <c r="E168" s="15">
        <v>0</v>
      </c>
      <c r="F168" s="53" t="s">
        <v>134</v>
      </c>
      <c r="G168" t="s">
        <v>259</v>
      </c>
      <c r="H168" s="41" t="s">
        <v>136</v>
      </c>
      <c r="I168" t="s">
        <v>260</v>
      </c>
      <c r="J168" t="s">
        <v>151</v>
      </c>
      <c r="K168" t="s">
        <v>139</v>
      </c>
      <c r="L168" s="17"/>
      <c r="M168" s="17"/>
      <c r="N168" s="17" t="s">
        <v>263</v>
      </c>
      <c r="O168" s="36"/>
      <c r="P168" s="17"/>
      <c r="Q168" s="17"/>
      <c r="U168" t="s">
        <v>262</v>
      </c>
      <c r="V168" t="s">
        <v>262</v>
      </c>
      <c r="X168" s="31">
        <v>43985</v>
      </c>
      <c r="Y168" s="31">
        <v>43985</v>
      </c>
      <c r="AA168" s="31"/>
      <c r="AB168" t="s">
        <v>9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1</v>
      </c>
      <c r="AI168">
        <v>56036</v>
      </c>
      <c r="AJ168">
        <v>2111</v>
      </c>
      <c r="AK168">
        <v>700</v>
      </c>
      <c r="AL168">
        <v>19</v>
      </c>
      <c r="AO168" s="41"/>
      <c r="AP168" s="41"/>
      <c r="AQ168" t="str">
        <f t="shared" si="4"/>
        <v/>
      </c>
      <c r="AS168" t="str">
        <f t="shared" si="5"/>
        <v>wci_corp</v>
      </c>
    </row>
    <row r="169" spans="2:45" x14ac:dyDescent="0.2">
      <c r="B169" t="s">
        <v>201</v>
      </c>
      <c r="C169" s="31">
        <v>43982</v>
      </c>
      <c r="D169" s="15">
        <v>375</v>
      </c>
      <c r="E169" s="15">
        <v>0</v>
      </c>
      <c r="F169" s="53" t="s">
        <v>134</v>
      </c>
      <c r="G169" t="s">
        <v>259</v>
      </c>
      <c r="H169" s="41" t="s">
        <v>136</v>
      </c>
      <c r="I169" t="s">
        <v>260</v>
      </c>
      <c r="J169" t="s">
        <v>151</v>
      </c>
      <c r="K169" t="s">
        <v>139</v>
      </c>
      <c r="L169" s="17"/>
      <c r="M169" s="17"/>
      <c r="N169" s="17" t="s">
        <v>264</v>
      </c>
      <c r="O169" s="36"/>
      <c r="P169" s="17"/>
      <c r="Q169" s="17"/>
      <c r="U169" t="s">
        <v>262</v>
      </c>
      <c r="V169" t="s">
        <v>262</v>
      </c>
      <c r="X169" s="31">
        <v>43985</v>
      </c>
      <c r="Y169" s="31">
        <v>43985</v>
      </c>
      <c r="AA169" s="31"/>
      <c r="AB169" t="s">
        <v>9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1</v>
      </c>
      <c r="AI169">
        <v>56036</v>
      </c>
      <c r="AJ169">
        <v>2111</v>
      </c>
      <c r="AK169">
        <v>700</v>
      </c>
      <c r="AL169">
        <v>19</v>
      </c>
      <c r="AO169" s="41"/>
      <c r="AP169" s="41"/>
      <c r="AQ169" t="str">
        <f t="shared" si="4"/>
        <v/>
      </c>
      <c r="AS169" t="str">
        <f t="shared" si="5"/>
        <v>wci_corp</v>
      </c>
    </row>
    <row r="170" spans="2:45" x14ac:dyDescent="0.2">
      <c r="B170" t="s">
        <v>168</v>
      </c>
      <c r="C170" s="31">
        <v>43982</v>
      </c>
      <c r="D170" s="15">
        <v>3909.06</v>
      </c>
      <c r="E170" s="15">
        <v>0</v>
      </c>
      <c r="F170" s="53" t="s">
        <v>134</v>
      </c>
      <c r="G170" t="s">
        <v>259</v>
      </c>
      <c r="H170" s="41" t="s">
        <v>136</v>
      </c>
      <c r="I170" t="s">
        <v>260</v>
      </c>
      <c r="J170" t="s">
        <v>151</v>
      </c>
      <c r="K170" t="s">
        <v>139</v>
      </c>
      <c r="L170" s="17"/>
      <c r="M170" s="17"/>
      <c r="N170" s="17" t="s">
        <v>263</v>
      </c>
      <c r="O170" s="36"/>
      <c r="P170" s="17"/>
      <c r="Q170" s="17"/>
      <c r="U170" t="s">
        <v>262</v>
      </c>
      <c r="V170" t="s">
        <v>262</v>
      </c>
      <c r="X170" s="31">
        <v>43985</v>
      </c>
      <c r="Y170" s="31">
        <v>43985</v>
      </c>
      <c r="AA170" s="31"/>
      <c r="AB170" t="s">
        <v>9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</v>
      </c>
      <c r="AI170">
        <v>70036</v>
      </c>
      <c r="AJ170">
        <v>2111</v>
      </c>
      <c r="AK170">
        <v>0</v>
      </c>
      <c r="AL170">
        <v>19</v>
      </c>
      <c r="AO170" s="41"/>
      <c r="AP170" s="41"/>
      <c r="AQ170" t="str">
        <f t="shared" si="4"/>
        <v/>
      </c>
      <c r="AS170" t="str">
        <f t="shared" si="5"/>
        <v>wci_corp</v>
      </c>
    </row>
    <row r="171" spans="2:45" x14ac:dyDescent="0.2">
      <c r="B171" t="s">
        <v>168</v>
      </c>
      <c r="C171" s="31">
        <v>43982</v>
      </c>
      <c r="D171" s="15">
        <v>1935.02</v>
      </c>
      <c r="E171" s="15">
        <v>0</v>
      </c>
      <c r="F171" s="53" t="s">
        <v>134</v>
      </c>
      <c r="G171" t="s">
        <v>259</v>
      </c>
      <c r="H171" s="41" t="s">
        <v>136</v>
      </c>
      <c r="I171" t="s">
        <v>260</v>
      </c>
      <c r="J171" t="s">
        <v>151</v>
      </c>
      <c r="K171" t="s">
        <v>139</v>
      </c>
      <c r="L171" s="17"/>
      <c r="M171" s="17"/>
      <c r="N171" s="17" t="s">
        <v>264</v>
      </c>
      <c r="O171" s="36"/>
      <c r="P171" s="17"/>
      <c r="Q171" s="17"/>
      <c r="U171" t="s">
        <v>262</v>
      </c>
      <c r="V171" t="s">
        <v>262</v>
      </c>
      <c r="X171" s="31">
        <v>43985</v>
      </c>
      <c r="Y171" s="31">
        <v>43985</v>
      </c>
      <c r="AA171" s="31"/>
      <c r="AB171" t="s">
        <v>9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1</v>
      </c>
      <c r="AI171">
        <v>70036</v>
      </c>
      <c r="AJ171">
        <v>2111</v>
      </c>
      <c r="AK171">
        <v>0</v>
      </c>
      <c r="AL171">
        <v>19</v>
      </c>
      <c r="AO171" s="41"/>
      <c r="AP171" s="41"/>
      <c r="AQ171" t="str">
        <f t="shared" si="4"/>
        <v/>
      </c>
      <c r="AS171" t="str">
        <f t="shared" si="5"/>
        <v>wci_corp</v>
      </c>
    </row>
    <row r="172" spans="2:45" x14ac:dyDescent="0.2">
      <c r="B172" t="s">
        <v>168</v>
      </c>
      <c r="C172" s="31">
        <v>43982</v>
      </c>
      <c r="D172" s="15">
        <v>250</v>
      </c>
      <c r="E172" s="15">
        <v>0</v>
      </c>
      <c r="F172" s="53" t="s">
        <v>134</v>
      </c>
      <c r="G172" t="s">
        <v>259</v>
      </c>
      <c r="H172" s="41" t="s">
        <v>136</v>
      </c>
      <c r="I172" t="s">
        <v>260</v>
      </c>
      <c r="J172" t="s">
        <v>151</v>
      </c>
      <c r="K172" t="s">
        <v>139</v>
      </c>
      <c r="L172" s="17"/>
      <c r="M172" s="17"/>
      <c r="N172" s="17" t="s">
        <v>263</v>
      </c>
      <c r="O172" s="36"/>
      <c r="P172" s="17"/>
      <c r="Q172" s="17"/>
      <c r="U172" t="s">
        <v>262</v>
      </c>
      <c r="V172" t="s">
        <v>262</v>
      </c>
      <c r="X172" s="31">
        <v>43985</v>
      </c>
      <c r="Y172" s="31">
        <v>43985</v>
      </c>
      <c r="AA172" s="31"/>
      <c r="AB172" t="s">
        <v>9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1</v>
      </c>
      <c r="AI172">
        <v>70036</v>
      </c>
      <c r="AJ172">
        <v>2111</v>
      </c>
      <c r="AK172">
        <v>0</v>
      </c>
      <c r="AL172">
        <v>19</v>
      </c>
      <c r="AO172" s="41"/>
      <c r="AP172" s="41"/>
      <c r="AQ172" t="str">
        <f t="shared" si="4"/>
        <v/>
      </c>
      <c r="AS172" t="str">
        <f t="shared" si="5"/>
        <v>wci_corp</v>
      </c>
    </row>
    <row r="173" spans="2:45" x14ac:dyDescent="0.2">
      <c r="B173" t="s">
        <v>168</v>
      </c>
      <c r="C173" s="31">
        <v>43982</v>
      </c>
      <c r="D173" s="15">
        <v>125</v>
      </c>
      <c r="E173" s="15">
        <v>0</v>
      </c>
      <c r="F173" s="53" t="s">
        <v>134</v>
      </c>
      <c r="G173" t="s">
        <v>259</v>
      </c>
      <c r="H173" s="41" t="s">
        <v>136</v>
      </c>
      <c r="I173" t="s">
        <v>260</v>
      </c>
      <c r="J173" t="s">
        <v>151</v>
      </c>
      <c r="K173" t="s">
        <v>139</v>
      </c>
      <c r="L173" s="17"/>
      <c r="M173" s="17"/>
      <c r="N173" s="17" t="s">
        <v>264</v>
      </c>
      <c r="O173" s="36"/>
      <c r="P173" s="17"/>
      <c r="Q173" s="17"/>
      <c r="U173" t="s">
        <v>262</v>
      </c>
      <c r="V173" t="s">
        <v>262</v>
      </c>
      <c r="X173" s="31">
        <v>43985</v>
      </c>
      <c r="Y173" s="31">
        <v>43985</v>
      </c>
      <c r="AA173" s="31"/>
      <c r="AB173" t="s">
        <v>9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1</v>
      </c>
      <c r="AI173">
        <v>70036</v>
      </c>
      <c r="AJ173">
        <v>2111</v>
      </c>
      <c r="AK173">
        <v>0</v>
      </c>
      <c r="AL173">
        <v>19</v>
      </c>
      <c r="AO173" s="41"/>
      <c r="AP173" s="41"/>
      <c r="AQ173" t="str">
        <f t="shared" si="4"/>
        <v/>
      </c>
      <c r="AS173" t="str">
        <f t="shared" si="5"/>
        <v>wci_corp</v>
      </c>
    </row>
    <row r="174" spans="2:45" x14ac:dyDescent="0.2">
      <c r="B174" t="s">
        <v>142</v>
      </c>
      <c r="C174" s="31">
        <v>43982</v>
      </c>
      <c r="D174" s="15">
        <v>750</v>
      </c>
      <c r="E174" s="15">
        <v>0</v>
      </c>
      <c r="F174" s="53" t="s">
        <v>134</v>
      </c>
      <c r="G174" t="s">
        <v>259</v>
      </c>
      <c r="H174" s="41" t="s">
        <v>136</v>
      </c>
      <c r="I174" t="s">
        <v>260</v>
      </c>
      <c r="J174" t="s">
        <v>151</v>
      </c>
      <c r="K174" t="s">
        <v>139</v>
      </c>
      <c r="L174" s="17"/>
      <c r="M174" s="17"/>
      <c r="N174" s="17" t="s">
        <v>265</v>
      </c>
      <c r="O174" s="36"/>
      <c r="P174" s="17"/>
      <c r="Q174" s="17"/>
      <c r="U174" t="s">
        <v>262</v>
      </c>
      <c r="V174" t="s">
        <v>262</v>
      </c>
      <c r="X174" s="31">
        <v>43985</v>
      </c>
      <c r="Y174" s="31">
        <v>43985</v>
      </c>
      <c r="AA174" s="31"/>
      <c r="AB174" t="s">
        <v>9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1</v>
      </c>
      <c r="AI174">
        <v>70165</v>
      </c>
      <c r="AJ174">
        <v>2111</v>
      </c>
      <c r="AK174">
        <v>0</v>
      </c>
      <c r="AL174">
        <v>19</v>
      </c>
      <c r="AO174" s="41"/>
      <c r="AP174" s="41"/>
      <c r="AQ174" t="str">
        <f t="shared" si="4"/>
        <v/>
      </c>
      <c r="AS174" t="str">
        <f t="shared" si="5"/>
        <v>wci_corp</v>
      </c>
    </row>
    <row r="175" spans="2:45" x14ac:dyDescent="0.2">
      <c r="B175" t="s">
        <v>142</v>
      </c>
      <c r="C175" s="31">
        <v>43982</v>
      </c>
      <c r="D175" s="15">
        <v>750</v>
      </c>
      <c r="E175" s="15">
        <v>0</v>
      </c>
      <c r="F175" s="53" t="s">
        <v>134</v>
      </c>
      <c r="G175" t="s">
        <v>259</v>
      </c>
      <c r="H175" s="41" t="s">
        <v>136</v>
      </c>
      <c r="I175" t="s">
        <v>260</v>
      </c>
      <c r="J175" t="s">
        <v>151</v>
      </c>
      <c r="K175" t="s">
        <v>139</v>
      </c>
      <c r="L175" s="17"/>
      <c r="M175" s="17"/>
      <c r="N175" s="17" t="s">
        <v>266</v>
      </c>
      <c r="O175" s="36"/>
      <c r="P175" s="17"/>
      <c r="Q175" s="17"/>
      <c r="U175" t="s">
        <v>262</v>
      </c>
      <c r="V175" t="s">
        <v>262</v>
      </c>
      <c r="X175" s="31">
        <v>43985</v>
      </c>
      <c r="Y175" s="31">
        <v>43985</v>
      </c>
      <c r="AA175" s="31"/>
      <c r="AB175" t="s">
        <v>9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1</v>
      </c>
      <c r="AI175">
        <v>70165</v>
      </c>
      <c r="AJ175">
        <v>2111</v>
      </c>
      <c r="AK175">
        <v>0</v>
      </c>
      <c r="AL175">
        <v>19</v>
      </c>
      <c r="AO175" s="41"/>
      <c r="AP175" s="41"/>
      <c r="AQ175" t="str">
        <f t="shared" si="4"/>
        <v/>
      </c>
      <c r="AS175" t="str">
        <f t="shared" si="5"/>
        <v>wci_corp</v>
      </c>
    </row>
    <row r="176" spans="2:45" x14ac:dyDescent="0.2">
      <c r="B176" t="s">
        <v>202</v>
      </c>
      <c r="C176" s="31">
        <v>43982</v>
      </c>
      <c r="D176" s="15">
        <v>-1272</v>
      </c>
      <c r="E176" s="15">
        <v>0</v>
      </c>
      <c r="F176" s="53" t="s">
        <v>134</v>
      </c>
      <c r="G176" t="s">
        <v>267</v>
      </c>
      <c r="H176" s="41" t="s">
        <v>136</v>
      </c>
      <c r="I176" t="s">
        <v>268</v>
      </c>
      <c r="J176" t="s">
        <v>190</v>
      </c>
      <c r="K176" t="s">
        <v>139</v>
      </c>
      <c r="L176" s="17"/>
      <c r="M176" s="17"/>
      <c r="N176" s="17" t="s">
        <v>249</v>
      </c>
      <c r="O176" s="36"/>
      <c r="P176" s="17"/>
      <c r="Q176" s="17"/>
      <c r="U176" t="s">
        <v>269</v>
      </c>
      <c r="V176" t="s">
        <v>269</v>
      </c>
      <c r="X176" s="31">
        <v>43985</v>
      </c>
      <c r="Y176" s="31">
        <v>43985</v>
      </c>
      <c r="AA176" s="31"/>
      <c r="AB176" t="s">
        <v>9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1</v>
      </c>
      <c r="AI176">
        <v>50020</v>
      </c>
      <c r="AJ176">
        <v>2111</v>
      </c>
      <c r="AK176">
        <v>0</v>
      </c>
      <c r="AL176">
        <v>19</v>
      </c>
      <c r="AO176" s="41"/>
      <c r="AP176" s="41"/>
      <c r="AQ176" t="str">
        <f t="shared" si="4"/>
        <v/>
      </c>
      <c r="AS176" t="str">
        <f t="shared" si="5"/>
        <v>wci_corp</v>
      </c>
    </row>
    <row r="177" spans="2:45" x14ac:dyDescent="0.2">
      <c r="B177" t="s">
        <v>142</v>
      </c>
      <c r="C177" s="31">
        <v>43982</v>
      </c>
      <c r="D177" s="15">
        <v>-775</v>
      </c>
      <c r="E177" s="15">
        <v>0</v>
      </c>
      <c r="F177" s="53" t="s">
        <v>134</v>
      </c>
      <c r="G177" t="s">
        <v>270</v>
      </c>
      <c r="H177" s="41" t="s">
        <v>136</v>
      </c>
      <c r="I177" t="s">
        <v>271</v>
      </c>
      <c r="J177" t="s">
        <v>190</v>
      </c>
      <c r="K177" t="s">
        <v>139</v>
      </c>
      <c r="L177" s="17"/>
      <c r="M177" s="17"/>
      <c r="N177" s="17" t="s">
        <v>253</v>
      </c>
      <c r="O177" s="36"/>
      <c r="P177" s="17"/>
      <c r="Q177" s="17"/>
      <c r="U177" t="s">
        <v>272</v>
      </c>
      <c r="V177" t="s">
        <v>272</v>
      </c>
      <c r="X177" s="31">
        <v>43985</v>
      </c>
      <c r="Y177" s="31">
        <v>43985</v>
      </c>
      <c r="AA177" s="31"/>
      <c r="AB177" t="s">
        <v>9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1</v>
      </c>
      <c r="AI177">
        <v>70165</v>
      </c>
      <c r="AJ177">
        <v>2111</v>
      </c>
      <c r="AK177">
        <v>0</v>
      </c>
      <c r="AL177">
        <v>19</v>
      </c>
      <c r="AO177" s="41"/>
      <c r="AP177" s="41"/>
      <c r="AQ177" t="str">
        <f t="shared" si="4"/>
        <v/>
      </c>
      <c r="AS177" t="str">
        <f t="shared" si="5"/>
        <v>wci_corp</v>
      </c>
    </row>
    <row r="178" spans="2:45" x14ac:dyDescent="0.2">
      <c r="B178" t="s">
        <v>142</v>
      </c>
      <c r="C178" s="31">
        <v>43982</v>
      </c>
      <c r="D178" s="15">
        <v>-25</v>
      </c>
      <c r="E178" s="15">
        <v>0</v>
      </c>
      <c r="F178" s="53" t="s">
        <v>134</v>
      </c>
      <c r="G178" t="s">
        <v>270</v>
      </c>
      <c r="H178" s="41" t="s">
        <v>136</v>
      </c>
      <c r="I178" t="s">
        <v>271</v>
      </c>
      <c r="J178" t="s">
        <v>190</v>
      </c>
      <c r="K178" t="s">
        <v>139</v>
      </c>
      <c r="L178" s="17"/>
      <c r="M178" s="17"/>
      <c r="N178" s="17" t="s">
        <v>253</v>
      </c>
      <c r="O178" s="36"/>
      <c r="P178" s="17"/>
      <c r="Q178" s="17"/>
      <c r="U178" t="s">
        <v>272</v>
      </c>
      <c r="V178" t="s">
        <v>272</v>
      </c>
      <c r="X178" s="31">
        <v>43985</v>
      </c>
      <c r="Y178" s="31">
        <v>43985</v>
      </c>
      <c r="AA178" s="31"/>
      <c r="AB178" t="s">
        <v>9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1</v>
      </c>
      <c r="AI178">
        <v>70165</v>
      </c>
      <c r="AJ178">
        <v>2111</v>
      </c>
      <c r="AK178">
        <v>0</v>
      </c>
      <c r="AL178">
        <v>19</v>
      </c>
      <c r="AO178" s="41"/>
      <c r="AP178" s="41"/>
      <c r="AQ178" t="str">
        <f t="shared" si="4"/>
        <v/>
      </c>
      <c r="AS178" t="str">
        <f t="shared" si="5"/>
        <v>wci_corp</v>
      </c>
    </row>
    <row r="179" spans="2:45" x14ac:dyDescent="0.2">
      <c r="B179" t="s">
        <v>142</v>
      </c>
      <c r="C179" s="31">
        <v>43982</v>
      </c>
      <c r="D179" s="15">
        <v>-25</v>
      </c>
      <c r="E179" s="15">
        <v>0</v>
      </c>
      <c r="F179" s="53" t="s">
        <v>134</v>
      </c>
      <c r="G179" t="s">
        <v>270</v>
      </c>
      <c r="H179" s="41" t="s">
        <v>136</v>
      </c>
      <c r="I179" t="s">
        <v>271</v>
      </c>
      <c r="J179" t="s">
        <v>190</v>
      </c>
      <c r="K179" t="s">
        <v>139</v>
      </c>
      <c r="L179" s="17"/>
      <c r="M179" s="17"/>
      <c r="N179" s="17" t="s">
        <v>253</v>
      </c>
      <c r="O179" s="36"/>
      <c r="P179" s="17"/>
      <c r="Q179" s="17"/>
      <c r="U179" t="s">
        <v>272</v>
      </c>
      <c r="V179" t="s">
        <v>272</v>
      </c>
      <c r="X179" s="31">
        <v>43985</v>
      </c>
      <c r="Y179" s="31">
        <v>43985</v>
      </c>
      <c r="AA179" s="31"/>
      <c r="AB179" t="s">
        <v>9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1</v>
      </c>
      <c r="AI179">
        <v>70165</v>
      </c>
      <c r="AJ179">
        <v>2111</v>
      </c>
      <c r="AK179">
        <v>0</v>
      </c>
      <c r="AL179">
        <v>19</v>
      </c>
      <c r="AO179" s="41"/>
      <c r="AP179" s="41"/>
      <c r="AQ179" t="str">
        <f t="shared" si="4"/>
        <v/>
      </c>
      <c r="AS179" t="str">
        <f t="shared" si="5"/>
        <v>wci_corp</v>
      </c>
    </row>
    <row r="180" spans="2:45" x14ac:dyDescent="0.2">
      <c r="B180" t="s">
        <v>202</v>
      </c>
      <c r="C180" s="31">
        <v>43982</v>
      </c>
      <c r="D180" s="15">
        <v>1272</v>
      </c>
      <c r="E180" s="15">
        <v>0</v>
      </c>
      <c r="F180" s="53" t="s">
        <v>134</v>
      </c>
      <c r="G180" t="s">
        <v>273</v>
      </c>
      <c r="H180" s="41" t="s">
        <v>136</v>
      </c>
      <c r="I180" t="s">
        <v>274</v>
      </c>
      <c r="J180" t="s">
        <v>190</v>
      </c>
      <c r="K180" t="s">
        <v>139</v>
      </c>
      <c r="L180" s="17"/>
      <c r="M180" s="17"/>
      <c r="N180" s="17" t="s">
        <v>249</v>
      </c>
      <c r="O180" s="36"/>
      <c r="P180" s="17"/>
      <c r="Q180" s="17"/>
      <c r="U180" t="s">
        <v>275</v>
      </c>
      <c r="V180" t="s">
        <v>275</v>
      </c>
      <c r="X180" s="31">
        <v>43985</v>
      </c>
      <c r="Y180" s="31">
        <v>43985</v>
      </c>
      <c r="AA180" s="31"/>
      <c r="AB180" t="s">
        <v>9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1</v>
      </c>
      <c r="AI180">
        <v>50020</v>
      </c>
      <c r="AJ180">
        <v>2111</v>
      </c>
      <c r="AK180">
        <v>0</v>
      </c>
      <c r="AL180">
        <v>19</v>
      </c>
      <c r="AO180" s="41"/>
      <c r="AP180" s="41"/>
      <c r="AQ180" t="str">
        <f t="shared" si="4"/>
        <v/>
      </c>
      <c r="AS180" t="str">
        <f t="shared" si="5"/>
        <v>wci_corp</v>
      </c>
    </row>
    <row r="181" spans="2:45" x14ac:dyDescent="0.2">
      <c r="B181" t="s">
        <v>156</v>
      </c>
      <c r="C181" s="31">
        <v>43982</v>
      </c>
      <c r="D181" s="15">
        <v>1760.4</v>
      </c>
      <c r="E181" s="15">
        <v>0</v>
      </c>
      <c r="F181" s="53" t="s">
        <v>134</v>
      </c>
      <c r="G181" t="s">
        <v>273</v>
      </c>
      <c r="H181" s="41" t="s">
        <v>136</v>
      </c>
      <c r="I181" t="s">
        <v>274</v>
      </c>
      <c r="J181" t="s">
        <v>190</v>
      </c>
      <c r="K181" t="s">
        <v>139</v>
      </c>
      <c r="L181" s="17"/>
      <c r="M181" s="17"/>
      <c r="N181" s="17" t="s">
        <v>257</v>
      </c>
      <c r="O181" s="36"/>
      <c r="P181" s="17"/>
      <c r="Q181" s="17"/>
      <c r="U181" t="s">
        <v>275</v>
      </c>
      <c r="V181" t="s">
        <v>275</v>
      </c>
      <c r="X181" s="31">
        <v>43985</v>
      </c>
      <c r="Y181" s="31">
        <v>43985</v>
      </c>
      <c r="AA181" s="31"/>
      <c r="AB181" t="s">
        <v>9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1</v>
      </c>
      <c r="AI181">
        <v>50036</v>
      </c>
      <c r="AJ181">
        <v>2111</v>
      </c>
      <c r="AK181">
        <v>0</v>
      </c>
      <c r="AL181">
        <v>19</v>
      </c>
      <c r="AO181" s="41"/>
      <c r="AP181" s="41"/>
      <c r="AQ181" t="str">
        <f t="shared" si="4"/>
        <v/>
      </c>
      <c r="AS181" t="str">
        <f t="shared" si="5"/>
        <v>wci_corp</v>
      </c>
    </row>
    <row r="182" spans="2:45" x14ac:dyDescent="0.2">
      <c r="B182" t="s">
        <v>193</v>
      </c>
      <c r="C182" s="31">
        <v>43982</v>
      </c>
      <c r="D182" s="15">
        <v>9206.5</v>
      </c>
      <c r="E182" s="15">
        <v>0</v>
      </c>
      <c r="F182" s="53" t="s">
        <v>134</v>
      </c>
      <c r="G182" t="s">
        <v>273</v>
      </c>
      <c r="H182" s="41" t="s">
        <v>136</v>
      </c>
      <c r="I182" t="s">
        <v>274</v>
      </c>
      <c r="J182" t="s">
        <v>190</v>
      </c>
      <c r="K182" t="s">
        <v>139</v>
      </c>
      <c r="L182" s="17"/>
      <c r="M182" s="17"/>
      <c r="N182" s="17" t="s">
        <v>257</v>
      </c>
      <c r="O182" s="36"/>
      <c r="P182" s="17"/>
      <c r="Q182" s="17"/>
      <c r="U182" t="s">
        <v>275</v>
      </c>
      <c r="V182" t="s">
        <v>275</v>
      </c>
      <c r="X182" s="31">
        <v>43985</v>
      </c>
      <c r="Y182" s="31">
        <v>43985</v>
      </c>
      <c r="AA182" s="31"/>
      <c r="AB182" t="s">
        <v>9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1</v>
      </c>
      <c r="AI182">
        <v>50036</v>
      </c>
      <c r="AJ182">
        <v>2111</v>
      </c>
      <c r="AK182">
        <v>100</v>
      </c>
      <c r="AL182">
        <v>19</v>
      </c>
      <c r="AO182" s="41"/>
      <c r="AP182" s="41"/>
      <c r="AQ182" t="str">
        <f t="shared" si="4"/>
        <v/>
      </c>
      <c r="AS182" t="str">
        <f t="shared" si="5"/>
        <v>wci_corp</v>
      </c>
    </row>
    <row r="183" spans="2:45" x14ac:dyDescent="0.2">
      <c r="B183" t="s">
        <v>194</v>
      </c>
      <c r="C183" s="31">
        <v>43982</v>
      </c>
      <c r="D183" s="15">
        <v>7880.18</v>
      </c>
      <c r="E183" s="15">
        <v>0</v>
      </c>
      <c r="F183" s="53" t="s">
        <v>134</v>
      </c>
      <c r="G183" t="s">
        <v>273</v>
      </c>
      <c r="H183" s="41" t="s">
        <v>136</v>
      </c>
      <c r="I183" t="s">
        <v>274</v>
      </c>
      <c r="J183" t="s">
        <v>190</v>
      </c>
      <c r="K183" t="s">
        <v>139</v>
      </c>
      <c r="L183" s="17"/>
      <c r="M183" s="17"/>
      <c r="N183" s="17" t="s">
        <v>257</v>
      </c>
      <c r="O183" s="36"/>
      <c r="P183" s="17"/>
      <c r="Q183" s="17"/>
      <c r="U183" t="s">
        <v>275</v>
      </c>
      <c r="V183" t="s">
        <v>275</v>
      </c>
      <c r="X183" s="31">
        <v>43985</v>
      </c>
      <c r="Y183" s="31">
        <v>43985</v>
      </c>
      <c r="AA183" s="31"/>
      <c r="AB183" t="s">
        <v>9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1</v>
      </c>
      <c r="AI183">
        <v>50036</v>
      </c>
      <c r="AJ183">
        <v>2111</v>
      </c>
      <c r="AK183">
        <v>200</v>
      </c>
      <c r="AL183">
        <v>19</v>
      </c>
      <c r="AO183" s="41"/>
      <c r="AP183" s="41"/>
      <c r="AQ183" t="str">
        <f t="shared" si="4"/>
        <v/>
      </c>
      <c r="AS183" t="str">
        <f t="shared" si="5"/>
        <v>wci_corp</v>
      </c>
    </row>
    <row r="184" spans="2:45" x14ac:dyDescent="0.2">
      <c r="B184" t="s">
        <v>195</v>
      </c>
      <c r="C184" s="31">
        <v>43982</v>
      </c>
      <c r="D184" s="15">
        <v>415.76</v>
      </c>
      <c r="E184" s="15">
        <v>0</v>
      </c>
      <c r="F184" s="53" t="s">
        <v>134</v>
      </c>
      <c r="G184" t="s">
        <v>273</v>
      </c>
      <c r="H184" s="41" t="s">
        <v>136</v>
      </c>
      <c r="I184" t="s">
        <v>274</v>
      </c>
      <c r="J184" t="s">
        <v>190</v>
      </c>
      <c r="K184" t="s">
        <v>139</v>
      </c>
      <c r="L184" s="17"/>
      <c r="M184" s="17"/>
      <c r="N184" s="17" t="s">
        <v>257</v>
      </c>
      <c r="O184" s="36"/>
      <c r="P184" s="17"/>
      <c r="Q184" s="17"/>
      <c r="U184" t="s">
        <v>275</v>
      </c>
      <c r="V184" t="s">
        <v>275</v>
      </c>
      <c r="X184" s="31">
        <v>43985</v>
      </c>
      <c r="Y184" s="31">
        <v>43985</v>
      </c>
      <c r="AA184" s="31"/>
      <c r="AB184" t="s">
        <v>9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1</v>
      </c>
      <c r="AI184">
        <v>50036</v>
      </c>
      <c r="AJ184">
        <v>2111</v>
      </c>
      <c r="AK184">
        <v>201</v>
      </c>
      <c r="AL184">
        <v>19</v>
      </c>
      <c r="AO184" s="41"/>
      <c r="AP184" s="41"/>
      <c r="AQ184" t="str">
        <f t="shared" si="4"/>
        <v/>
      </c>
      <c r="AS184" t="str">
        <f t="shared" si="5"/>
        <v>wci_corp</v>
      </c>
    </row>
    <row r="185" spans="2:45" x14ac:dyDescent="0.2">
      <c r="B185" t="s">
        <v>196</v>
      </c>
      <c r="C185" s="31">
        <v>43982</v>
      </c>
      <c r="D185" s="15">
        <v>2639.34</v>
      </c>
      <c r="E185" s="15">
        <v>0</v>
      </c>
      <c r="F185" s="53" t="s">
        <v>134</v>
      </c>
      <c r="G185" t="s">
        <v>273</v>
      </c>
      <c r="H185" s="41" t="s">
        <v>136</v>
      </c>
      <c r="I185" t="s">
        <v>274</v>
      </c>
      <c r="J185" t="s">
        <v>190</v>
      </c>
      <c r="K185" t="s">
        <v>139</v>
      </c>
      <c r="L185" s="17"/>
      <c r="M185" s="17"/>
      <c r="N185" s="17" t="s">
        <v>257</v>
      </c>
      <c r="O185" s="36"/>
      <c r="P185" s="17"/>
      <c r="Q185" s="17"/>
      <c r="U185" t="s">
        <v>275</v>
      </c>
      <c r="V185" t="s">
        <v>275</v>
      </c>
      <c r="X185" s="31">
        <v>43985</v>
      </c>
      <c r="Y185" s="31">
        <v>43985</v>
      </c>
      <c r="AA185" s="31"/>
      <c r="AB185" t="s">
        <v>9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1</v>
      </c>
      <c r="AI185">
        <v>50036</v>
      </c>
      <c r="AJ185">
        <v>2111</v>
      </c>
      <c r="AK185">
        <v>210</v>
      </c>
      <c r="AL185">
        <v>19</v>
      </c>
      <c r="AO185" s="41"/>
      <c r="AP185" s="41"/>
      <c r="AQ185" t="str">
        <f t="shared" si="4"/>
        <v/>
      </c>
      <c r="AS185" t="str">
        <f t="shared" si="5"/>
        <v>wci_corp</v>
      </c>
    </row>
    <row r="186" spans="2:45" x14ac:dyDescent="0.2">
      <c r="B186" t="s">
        <v>197</v>
      </c>
      <c r="C186" s="31">
        <v>43982</v>
      </c>
      <c r="D186" s="15">
        <v>2569</v>
      </c>
      <c r="E186" s="15">
        <v>0</v>
      </c>
      <c r="F186" s="53" t="s">
        <v>134</v>
      </c>
      <c r="G186" t="s">
        <v>273</v>
      </c>
      <c r="H186" s="41" t="s">
        <v>136</v>
      </c>
      <c r="I186" t="s">
        <v>274</v>
      </c>
      <c r="J186" t="s">
        <v>190</v>
      </c>
      <c r="K186" t="s">
        <v>139</v>
      </c>
      <c r="L186" s="17"/>
      <c r="M186" s="17"/>
      <c r="N186" s="17" t="s">
        <v>257</v>
      </c>
      <c r="O186" s="36"/>
      <c r="P186" s="17"/>
      <c r="Q186" s="17"/>
      <c r="U186" t="s">
        <v>275</v>
      </c>
      <c r="V186" t="s">
        <v>275</v>
      </c>
      <c r="X186" s="31">
        <v>43985</v>
      </c>
      <c r="Y186" s="31">
        <v>43985</v>
      </c>
      <c r="AA186" s="31"/>
      <c r="AB186" t="s">
        <v>9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1</v>
      </c>
      <c r="AI186">
        <v>50036</v>
      </c>
      <c r="AJ186">
        <v>2111</v>
      </c>
      <c r="AK186">
        <v>300</v>
      </c>
      <c r="AL186">
        <v>19</v>
      </c>
      <c r="AO186" s="41"/>
      <c r="AP186" s="41"/>
      <c r="AQ186" t="str">
        <f t="shared" si="4"/>
        <v/>
      </c>
      <c r="AS186" t="str">
        <f t="shared" si="5"/>
        <v>wci_corp</v>
      </c>
    </row>
    <row r="187" spans="2:45" x14ac:dyDescent="0.2">
      <c r="B187" t="s">
        <v>198</v>
      </c>
      <c r="C187" s="31">
        <v>43982</v>
      </c>
      <c r="D187" s="15">
        <v>961.16</v>
      </c>
      <c r="E187" s="15">
        <v>0</v>
      </c>
      <c r="F187" s="53" t="s">
        <v>134</v>
      </c>
      <c r="G187" t="s">
        <v>273</v>
      </c>
      <c r="H187" s="41" t="s">
        <v>136</v>
      </c>
      <c r="I187" t="s">
        <v>274</v>
      </c>
      <c r="J187" t="s">
        <v>190</v>
      </c>
      <c r="K187" t="s">
        <v>139</v>
      </c>
      <c r="L187" s="17"/>
      <c r="M187" s="17"/>
      <c r="N187" s="17" t="s">
        <v>257</v>
      </c>
      <c r="O187" s="36"/>
      <c r="P187" s="17"/>
      <c r="Q187" s="17"/>
      <c r="U187" t="s">
        <v>275</v>
      </c>
      <c r="V187" t="s">
        <v>275</v>
      </c>
      <c r="X187" s="31">
        <v>43985</v>
      </c>
      <c r="Y187" s="31">
        <v>43985</v>
      </c>
      <c r="AA187" s="31"/>
      <c r="AB187" t="s">
        <v>9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1</v>
      </c>
      <c r="AI187">
        <v>50036</v>
      </c>
      <c r="AJ187">
        <v>2111</v>
      </c>
      <c r="AK187">
        <v>500</v>
      </c>
      <c r="AL187">
        <v>19</v>
      </c>
      <c r="AO187" s="41"/>
      <c r="AP187" s="41"/>
      <c r="AQ187" t="str">
        <f t="shared" si="4"/>
        <v/>
      </c>
      <c r="AS187" t="str">
        <f t="shared" si="5"/>
        <v>wci_corp</v>
      </c>
    </row>
    <row r="188" spans="2:45" x14ac:dyDescent="0.2">
      <c r="B188" t="s">
        <v>162</v>
      </c>
      <c r="C188" s="31">
        <v>43982</v>
      </c>
      <c r="D188" s="15">
        <v>4418</v>
      </c>
      <c r="E188" s="15">
        <v>0</v>
      </c>
      <c r="F188" s="53" t="s">
        <v>134</v>
      </c>
      <c r="G188" t="s">
        <v>273</v>
      </c>
      <c r="H188" s="41" t="s">
        <v>136</v>
      </c>
      <c r="I188" t="s">
        <v>274</v>
      </c>
      <c r="J188" t="s">
        <v>190</v>
      </c>
      <c r="K188" t="s">
        <v>139</v>
      </c>
      <c r="L188" s="17"/>
      <c r="M188" s="17"/>
      <c r="N188" s="17" t="s">
        <v>257</v>
      </c>
      <c r="O188" s="36"/>
      <c r="P188" s="17"/>
      <c r="Q188" s="17"/>
      <c r="U188" t="s">
        <v>275</v>
      </c>
      <c r="V188" t="s">
        <v>275</v>
      </c>
      <c r="X188" s="31">
        <v>43985</v>
      </c>
      <c r="Y188" s="31">
        <v>43985</v>
      </c>
      <c r="AA188" s="31"/>
      <c r="AB188" t="s">
        <v>9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1</v>
      </c>
      <c r="AI188">
        <v>52036</v>
      </c>
      <c r="AJ188">
        <v>2111</v>
      </c>
      <c r="AK188">
        <v>0</v>
      </c>
      <c r="AL188">
        <v>19</v>
      </c>
      <c r="AO188" s="41"/>
      <c r="AP188" s="41"/>
      <c r="AQ188" t="str">
        <f t="shared" si="4"/>
        <v/>
      </c>
      <c r="AS188" t="str">
        <f t="shared" si="5"/>
        <v>wci_corp</v>
      </c>
    </row>
    <row r="189" spans="2:45" x14ac:dyDescent="0.2">
      <c r="B189" t="s">
        <v>164</v>
      </c>
      <c r="C189" s="31">
        <v>43982</v>
      </c>
      <c r="D189" s="15">
        <v>1137.0999999999999</v>
      </c>
      <c r="E189" s="15">
        <v>0</v>
      </c>
      <c r="F189" s="53" t="s">
        <v>134</v>
      </c>
      <c r="G189" t="s">
        <v>273</v>
      </c>
      <c r="H189" s="41" t="s">
        <v>136</v>
      </c>
      <c r="I189" t="s">
        <v>274</v>
      </c>
      <c r="J189" t="s">
        <v>190</v>
      </c>
      <c r="K189" t="s">
        <v>139</v>
      </c>
      <c r="L189" s="17"/>
      <c r="M189" s="17"/>
      <c r="N189" s="17" t="s">
        <v>257</v>
      </c>
      <c r="O189" s="36"/>
      <c r="P189" s="17"/>
      <c r="Q189" s="17"/>
      <c r="U189" t="s">
        <v>275</v>
      </c>
      <c r="V189" t="s">
        <v>275</v>
      </c>
      <c r="X189" s="31">
        <v>43985</v>
      </c>
      <c r="Y189" s="31">
        <v>43985</v>
      </c>
      <c r="AA189" s="31"/>
      <c r="AB189" t="s">
        <v>9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1</v>
      </c>
      <c r="AI189">
        <v>55036</v>
      </c>
      <c r="AJ189">
        <v>2111</v>
      </c>
      <c r="AK189">
        <v>0</v>
      </c>
      <c r="AL189">
        <v>19</v>
      </c>
      <c r="AO189" s="41"/>
      <c r="AP189" s="41"/>
      <c r="AQ189" t="str">
        <f t="shared" si="4"/>
        <v/>
      </c>
      <c r="AS189" t="str">
        <f t="shared" si="5"/>
        <v>wci_corp</v>
      </c>
    </row>
    <row r="190" spans="2:45" x14ac:dyDescent="0.2">
      <c r="B190" t="s">
        <v>166</v>
      </c>
      <c r="C190" s="31">
        <v>43982</v>
      </c>
      <c r="D190" s="15">
        <v>500</v>
      </c>
      <c r="E190" s="15">
        <v>0</v>
      </c>
      <c r="F190" s="53" t="s">
        <v>134</v>
      </c>
      <c r="G190" t="s">
        <v>273</v>
      </c>
      <c r="H190" s="41" t="s">
        <v>136</v>
      </c>
      <c r="I190" t="s">
        <v>274</v>
      </c>
      <c r="J190" t="s">
        <v>190</v>
      </c>
      <c r="K190" t="s">
        <v>139</v>
      </c>
      <c r="L190" s="17"/>
      <c r="M190" s="17"/>
      <c r="N190" s="17" t="s">
        <v>257</v>
      </c>
      <c r="O190" s="36"/>
      <c r="P190" s="17"/>
      <c r="Q190" s="17"/>
      <c r="U190" t="s">
        <v>275</v>
      </c>
      <c r="V190" t="s">
        <v>275</v>
      </c>
      <c r="X190" s="31">
        <v>43985</v>
      </c>
      <c r="Y190" s="31">
        <v>43985</v>
      </c>
      <c r="AA190" s="31"/>
      <c r="AB190" t="s">
        <v>9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1</v>
      </c>
      <c r="AI190">
        <v>56036</v>
      </c>
      <c r="AJ190">
        <v>2111</v>
      </c>
      <c r="AK190">
        <v>0</v>
      </c>
      <c r="AL190">
        <v>19</v>
      </c>
      <c r="AO190" s="41"/>
      <c r="AP190" s="41"/>
      <c r="AQ190" t="str">
        <f t="shared" si="4"/>
        <v/>
      </c>
      <c r="AS190" t="str">
        <f t="shared" si="5"/>
        <v>wci_corp</v>
      </c>
    </row>
    <row r="191" spans="2:45" x14ac:dyDescent="0.2">
      <c r="B191" t="s">
        <v>201</v>
      </c>
      <c r="C191" s="31">
        <v>43982</v>
      </c>
      <c r="D191" s="15">
        <v>750</v>
      </c>
      <c r="E191" s="15">
        <v>0</v>
      </c>
      <c r="F191" s="53" t="s">
        <v>134</v>
      </c>
      <c r="G191" t="s">
        <v>273</v>
      </c>
      <c r="H191" s="41" t="s">
        <v>136</v>
      </c>
      <c r="I191" t="s">
        <v>274</v>
      </c>
      <c r="J191" t="s">
        <v>190</v>
      </c>
      <c r="K191" t="s">
        <v>139</v>
      </c>
      <c r="L191" s="17"/>
      <c r="M191" s="17"/>
      <c r="N191" s="17" t="s">
        <v>257</v>
      </c>
      <c r="O191" s="36"/>
      <c r="P191" s="17"/>
      <c r="Q191" s="17"/>
      <c r="U191" t="s">
        <v>275</v>
      </c>
      <c r="V191" t="s">
        <v>275</v>
      </c>
      <c r="X191" s="31">
        <v>43985</v>
      </c>
      <c r="Y191" s="31">
        <v>43985</v>
      </c>
      <c r="AA191" s="31"/>
      <c r="AB191" t="s">
        <v>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1</v>
      </c>
      <c r="AI191">
        <v>56036</v>
      </c>
      <c r="AJ191">
        <v>2111</v>
      </c>
      <c r="AK191">
        <v>700</v>
      </c>
      <c r="AL191">
        <v>19</v>
      </c>
      <c r="AO191" s="41"/>
      <c r="AP191" s="41"/>
      <c r="AQ191" t="str">
        <f t="shared" si="4"/>
        <v/>
      </c>
      <c r="AS191" t="str">
        <f t="shared" si="5"/>
        <v>wci_corp</v>
      </c>
    </row>
    <row r="192" spans="2:45" x14ac:dyDescent="0.2">
      <c r="B192" t="s">
        <v>168</v>
      </c>
      <c r="C192" s="31">
        <v>43982</v>
      </c>
      <c r="D192" s="15">
        <v>250</v>
      </c>
      <c r="E192" s="15">
        <v>0</v>
      </c>
      <c r="F192" s="53" t="s">
        <v>134</v>
      </c>
      <c r="G192" t="s">
        <v>273</v>
      </c>
      <c r="H192" s="41" t="s">
        <v>136</v>
      </c>
      <c r="I192" t="s">
        <v>274</v>
      </c>
      <c r="J192" t="s">
        <v>190</v>
      </c>
      <c r="K192" t="s">
        <v>139</v>
      </c>
      <c r="L192" s="17"/>
      <c r="M192" s="17"/>
      <c r="N192" s="17" t="s">
        <v>257</v>
      </c>
      <c r="O192" s="36"/>
      <c r="P192" s="17"/>
      <c r="Q192" s="17"/>
      <c r="U192" t="s">
        <v>275</v>
      </c>
      <c r="V192" t="s">
        <v>275</v>
      </c>
      <c r="X192" s="31">
        <v>43985</v>
      </c>
      <c r="Y192" s="31">
        <v>43985</v>
      </c>
      <c r="AA192" s="31"/>
      <c r="AB192" t="s">
        <v>9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1</v>
      </c>
      <c r="AI192">
        <v>70036</v>
      </c>
      <c r="AJ192">
        <v>2111</v>
      </c>
      <c r="AK192">
        <v>0</v>
      </c>
      <c r="AL192">
        <v>19</v>
      </c>
      <c r="AO192" s="41"/>
      <c r="AP192" s="41"/>
      <c r="AQ192" t="str">
        <f t="shared" si="4"/>
        <v/>
      </c>
      <c r="AS192" t="str">
        <f t="shared" si="5"/>
        <v>wci_corp</v>
      </c>
    </row>
    <row r="193" spans="2:45" x14ac:dyDescent="0.2">
      <c r="B193" t="s">
        <v>168</v>
      </c>
      <c r="C193" s="31">
        <v>43982</v>
      </c>
      <c r="D193" s="15">
        <v>3959.64</v>
      </c>
      <c r="E193" s="15">
        <v>0</v>
      </c>
      <c r="F193" s="53" t="s">
        <v>134</v>
      </c>
      <c r="G193" t="s">
        <v>273</v>
      </c>
      <c r="H193" s="41" t="s">
        <v>136</v>
      </c>
      <c r="I193" t="s">
        <v>274</v>
      </c>
      <c r="J193" t="s">
        <v>190</v>
      </c>
      <c r="K193" t="s">
        <v>139</v>
      </c>
      <c r="L193" s="17"/>
      <c r="M193" s="17"/>
      <c r="N193" s="17" t="s">
        <v>257</v>
      </c>
      <c r="O193" s="36"/>
      <c r="P193" s="17"/>
      <c r="Q193" s="17"/>
      <c r="U193" t="s">
        <v>275</v>
      </c>
      <c r="V193" t="s">
        <v>275</v>
      </c>
      <c r="X193" s="31">
        <v>43985</v>
      </c>
      <c r="Y193" s="31">
        <v>43985</v>
      </c>
      <c r="AA193" s="31"/>
      <c r="AB193" t="s">
        <v>9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1</v>
      </c>
      <c r="AI193">
        <v>70036</v>
      </c>
      <c r="AJ193">
        <v>2111</v>
      </c>
      <c r="AK193">
        <v>0</v>
      </c>
      <c r="AL193">
        <v>19</v>
      </c>
      <c r="AO193" s="41"/>
      <c r="AP193" s="41"/>
      <c r="AQ193" t="str">
        <f t="shared" si="4"/>
        <v/>
      </c>
      <c r="AS193" t="str">
        <f t="shared" si="5"/>
        <v>wci_corp</v>
      </c>
    </row>
    <row r="194" spans="2:45" x14ac:dyDescent="0.2">
      <c r="B194" t="s">
        <v>142</v>
      </c>
      <c r="C194" s="31">
        <v>43982</v>
      </c>
      <c r="D194" s="15">
        <v>775</v>
      </c>
      <c r="E194" s="15">
        <v>0</v>
      </c>
      <c r="F194" s="53" t="s">
        <v>134</v>
      </c>
      <c r="G194" t="s">
        <v>273</v>
      </c>
      <c r="H194" s="41" t="s">
        <v>136</v>
      </c>
      <c r="I194" t="s">
        <v>274</v>
      </c>
      <c r="J194" t="s">
        <v>190</v>
      </c>
      <c r="K194" t="s">
        <v>139</v>
      </c>
      <c r="L194" s="17"/>
      <c r="M194" s="17"/>
      <c r="N194" s="17" t="s">
        <v>253</v>
      </c>
      <c r="O194" s="36"/>
      <c r="P194" s="17"/>
      <c r="Q194" s="17"/>
      <c r="U194" t="s">
        <v>275</v>
      </c>
      <c r="V194" t="s">
        <v>275</v>
      </c>
      <c r="X194" s="31">
        <v>43985</v>
      </c>
      <c r="Y194" s="31">
        <v>43985</v>
      </c>
      <c r="AA194" s="31"/>
      <c r="AB194" t="s">
        <v>9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1</v>
      </c>
      <c r="AI194">
        <v>70165</v>
      </c>
      <c r="AJ194">
        <v>2111</v>
      </c>
      <c r="AK194">
        <v>0</v>
      </c>
      <c r="AL194">
        <v>19</v>
      </c>
      <c r="AO194" s="41"/>
      <c r="AP194" s="41"/>
      <c r="AQ194" t="str">
        <f t="shared" si="4"/>
        <v/>
      </c>
      <c r="AS194" t="str">
        <f t="shared" si="5"/>
        <v>wci_corp</v>
      </c>
    </row>
    <row r="195" spans="2:45" x14ac:dyDescent="0.2">
      <c r="B195" t="s">
        <v>142</v>
      </c>
      <c r="C195" s="31">
        <v>43982</v>
      </c>
      <c r="D195" s="15">
        <v>25</v>
      </c>
      <c r="E195" s="15">
        <v>0</v>
      </c>
      <c r="F195" s="53" t="s">
        <v>134</v>
      </c>
      <c r="G195" t="s">
        <v>273</v>
      </c>
      <c r="H195" s="41" t="s">
        <v>136</v>
      </c>
      <c r="I195" t="s">
        <v>274</v>
      </c>
      <c r="J195" t="s">
        <v>190</v>
      </c>
      <c r="K195" t="s">
        <v>139</v>
      </c>
      <c r="L195" s="17"/>
      <c r="M195" s="17"/>
      <c r="N195" s="17" t="s">
        <v>253</v>
      </c>
      <c r="O195" s="36"/>
      <c r="P195" s="17"/>
      <c r="Q195" s="17"/>
      <c r="U195" t="s">
        <v>275</v>
      </c>
      <c r="V195" t="s">
        <v>275</v>
      </c>
      <c r="X195" s="31">
        <v>43985</v>
      </c>
      <c r="Y195" s="31">
        <v>43985</v>
      </c>
      <c r="AA195" s="31"/>
      <c r="AB195" t="s">
        <v>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1</v>
      </c>
      <c r="AI195">
        <v>70165</v>
      </c>
      <c r="AJ195">
        <v>2111</v>
      </c>
      <c r="AK195">
        <v>0</v>
      </c>
      <c r="AL195">
        <v>19</v>
      </c>
      <c r="AO195" s="41"/>
      <c r="AP195" s="41"/>
      <c r="AQ195" t="str">
        <f t="shared" si="4"/>
        <v/>
      </c>
      <c r="AS195" t="str">
        <f t="shared" si="5"/>
        <v>wci_corp</v>
      </c>
    </row>
    <row r="196" spans="2:45" x14ac:dyDescent="0.2">
      <c r="B196" t="s">
        <v>142</v>
      </c>
      <c r="C196" s="31">
        <v>43982</v>
      </c>
      <c r="D196" s="15">
        <v>25</v>
      </c>
      <c r="E196" s="15">
        <v>0</v>
      </c>
      <c r="F196" s="53" t="s">
        <v>134</v>
      </c>
      <c r="G196" t="s">
        <v>273</v>
      </c>
      <c r="H196" s="41" t="s">
        <v>136</v>
      </c>
      <c r="I196" t="s">
        <v>274</v>
      </c>
      <c r="J196" t="s">
        <v>190</v>
      </c>
      <c r="K196" t="s">
        <v>139</v>
      </c>
      <c r="L196" s="17"/>
      <c r="M196" s="17"/>
      <c r="N196" s="17" t="s">
        <v>253</v>
      </c>
      <c r="O196" s="36"/>
      <c r="P196" s="17"/>
      <c r="Q196" s="17"/>
      <c r="U196" t="s">
        <v>275</v>
      </c>
      <c r="V196" t="s">
        <v>275</v>
      </c>
      <c r="X196" s="31">
        <v>43985</v>
      </c>
      <c r="Y196" s="31">
        <v>43985</v>
      </c>
      <c r="AA196" s="31"/>
      <c r="AB196" t="s">
        <v>9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1</v>
      </c>
      <c r="AI196">
        <v>70165</v>
      </c>
      <c r="AJ196">
        <v>2111</v>
      </c>
      <c r="AK196">
        <v>0</v>
      </c>
      <c r="AL196">
        <v>19</v>
      </c>
      <c r="AO196" s="41"/>
      <c r="AP196" s="41"/>
      <c r="AQ196" t="str">
        <f t="shared" si="4"/>
        <v/>
      </c>
      <c r="AS196" t="str">
        <f t="shared" si="5"/>
        <v>wci_corp</v>
      </c>
    </row>
    <row r="197" spans="2:45" x14ac:dyDescent="0.2">
      <c r="B197" t="s">
        <v>202</v>
      </c>
      <c r="C197" s="31">
        <v>43982</v>
      </c>
      <c r="D197" s="15">
        <v>-640.32000000000005</v>
      </c>
      <c r="E197" s="15">
        <v>0</v>
      </c>
      <c r="F197" s="53" t="s">
        <v>134</v>
      </c>
      <c r="G197" t="s">
        <v>276</v>
      </c>
      <c r="H197" s="41" t="s">
        <v>136</v>
      </c>
      <c r="I197" t="s">
        <v>277</v>
      </c>
      <c r="J197" t="s">
        <v>190</v>
      </c>
      <c r="K197" t="s">
        <v>139</v>
      </c>
      <c r="L197" s="17"/>
      <c r="M197" s="17"/>
      <c r="N197" s="17" t="s">
        <v>261</v>
      </c>
      <c r="O197" s="36"/>
      <c r="P197" s="17"/>
      <c r="Q197" s="17"/>
      <c r="U197" t="s">
        <v>278</v>
      </c>
      <c r="V197" t="s">
        <v>278</v>
      </c>
      <c r="X197" s="31">
        <v>43985</v>
      </c>
      <c r="Y197" s="31">
        <v>43985</v>
      </c>
      <c r="AA197" s="31"/>
      <c r="AB197" t="s">
        <v>9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1</v>
      </c>
      <c r="AI197">
        <v>50020</v>
      </c>
      <c r="AJ197">
        <v>2111</v>
      </c>
      <c r="AK197">
        <v>0</v>
      </c>
      <c r="AL197">
        <v>19</v>
      </c>
      <c r="AO197" s="41"/>
      <c r="AP197" s="41"/>
      <c r="AQ197" t="str">
        <f t="shared" si="4"/>
        <v/>
      </c>
      <c r="AS197" t="str">
        <f t="shared" si="5"/>
        <v>wci_corp</v>
      </c>
    </row>
    <row r="198" spans="2:45" x14ac:dyDescent="0.2">
      <c r="B198" t="s">
        <v>156</v>
      </c>
      <c r="C198" s="31">
        <v>43982</v>
      </c>
      <c r="D198" s="15">
        <v>-1653.24</v>
      </c>
      <c r="E198" s="15">
        <v>0</v>
      </c>
      <c r="F198" s="53" t="s">
        <v>134</v>
      </c>
      <c r="G198" t="s">
        <v>276</v>
      </c>
      <c r="H198" s="41" t="s">
        <v>136</v>
      </c>
      <c r="I198" t="s">
        <v>277</v>
      </c>
      <c r="J198" t="s">
        <v>190</v>
      </c>
      <c r="K198" t="s">
        <v>139</v>
      </c>
      <c r="L198" s="17"/>
      <c r="M198" s="17"/>
      <c r="N198" s="17" t="s">
        <v>263</v>
      </c>
      <c r="O198" s="36"/>
      <c r="P198" s="17"/>
      <c r="Q198" s="17"/>
      <c r="U198" t="s">
        <v>278</v>
      </c>
      <c r="V198" t="s">
        <v>278</v>
      </c>
      <c r="X198" s="31">
        <v>43985</v>
      </c>
      <c r="Y198" s="31">
        <v>43985</v>
      </c>
      <c r="AA198" s="31"/>
      <c r="AB198" t="s">
        <v>9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1</v>
      </c>
      <c r="AI198">
        <v>50036</v>
      </c>
      <c r="AJ198">
        <v>2111</v>
      </c>
      <c r="AK198">
        <v>0</v>
      </c>
      <c r="AL198">
        <v>19</v>
      </c>
      <c r="AO198" s="41"/>
      <c r="AP198" s="41"/>
      <c r="AQ198" t="str">
        <f t="shared" si="4"/>
        <v/>
      </c>
      <c r="AS198" t="str">
        <f t="shared" si="5"/>
        <v>wci_corp</v>
      </c>
    </row>
    <row r="199" spans="2:45" x14ac:dyDescent="0.2">
      <c r="B199" t="s">
        <v>156</v>
      </c>
      <c r="C199" s="31">
        <v>43982</v>
      </c>
      <c r="D199" s="15">
        <v>-869.9</v>
      </c>
      <c r="E199" s="15">
        <v>0</v>
      </c>
      <c r="F199" s="53" t="s">
        <v>134</v>
      </c>
      <c r="G199" t="s">
        <v>276</v>
      </c>
      <c r="H199" s="41" t="s">
        <v>136</v>
      </c>
      <c r="I199" t="s">
        <v>277</v>
      </c>
      <c r="J199" t="s">
        <v>190</v>
      </c>
      <c r="K199" t="s">
        <v>139</v>
      </c>
      <c r="L199" s="17"/>
      <c r="M199" s="17"/>
      <c r="N199" s="17" t="s">
        <v>264</v>
      </c>
      <c r="O199" s="36"/>
      <c r="P199" s="17"/>
      <c r="Q199" s="17"/>
      <c r="U199" t="s">
        <v>278</v>
      </c>
      <c r="V199" t="s">
        <v>278</v>
      </c>
      <c r="X199" s="31">
        <v>43985</v>
      </c>
      <c r="Y199" s="31">
        <v>43985</v>
      </c>
      <c r="AA199" s="31"/>
      <c r="AB199" t="s">
        <v>9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1</v>
      </c>
      <c r="AI199">
        <v>50036</v>
      </c>
      <c r="AJ199">
        <v>2111</v>
      </c>
      <c r="AK199">
        <v>0</v>
      </c>
      <c r="AL199">
        <v>19</v>
      </c>
      <c r="AO199" s="41"/>
      <c r="AP199" s="41"/>
      <c r="AQ199" t="str">
        <f t="shared" si="4"/>
        <v/>
      </c>
      <c r="AS199" t="str">
        <f t="shared" si="5"/>
        <v>wci_corp</v>
      </c>
    </row>
    <row r="200" spans="2:45" x14ac:dyDescent="0.2">
      <c r="B200" t="s">
        <v>193</v>
      </c>
      <c r="C200" s="31">
        <v>43982</v>
      </c>
      <c r="D200" s="15">
        <v>-9832.42</v>
      </c>
      <c r="E200" s="15">
        <v>0</v>
      </c>
      <c r="F200" s="53" t="s">
        <v>134</v>
      </c>
      <c r="G200" t="s">
        <v>276</v>
      </c>
      <c r="H200" s="41" t="s">
        <v>136</v>
      </c>
      <c r="I200" t="s">
        <v>277</v>
      </c>
      <c r="J200" t="s">
        <v>190</v>
      </c>
      <c r="K200" t="s">
        <v>139</v>
      </c>
      <c r="L200" s="17"/>
      <c r="M200" s="17"/>
      <c r="N200" s="17" t="s">
        <v>263</v>
      </c>
      <c r="O200" s="36"/>
      <c r="P200" s="17"/>
      <c r="Q200" s="17"/>
      <c r="U200" t="s">
        <v>278</v>
      </c>
      <c r="V200" t="s">
        <v>278</v>
      </c>
      <c r="X200" s="31">
        <v>43985</v>
      </c>
      <c r="Y200" s="31">
        <v>43985</v>
      </c>
      <c r="AA200" s="31"/>
      <c r="AB200" t="s">
        <v>9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1</v>
      </c>
      <c r="AI200">
        <v>50036</v>
      </c>
      <c r="AJ200">
        <v>2111</v>
      </c>
      <c r="AK200">
        <v>100</v>
      </c>
      <c r="AL200">
        <v>19</v>
      </c>
      <c r="AO200" s="41"/>
      <c r="AP200" s="41"/>
      <c r="AQ200" t="str">
        <f t="shared" si="4"/>
        <v/>
      </c>
      <c r="AS200" t="str">
        <f t="shared" si="5"/>
        <v>wci_corp</v>
      </c>
    </row>
    <row r="201" spans="2:45" x14ac:dyDescent="0.2">
      <c r="B201" t="s">
        <v>193</v>
      </c>
      <c r="C201" s="31">
        <v>43982</v>
      </c>
      <c r="D201" s="15">
        <v>-4846.46</v>
      </c>
      <c r="E201" s="15">
        <v>0</v>
      </c>
      <c r="F201" s="53" t="s">
        <v>134</v>
      </c>
      <c r="G201" t="s">
        <v>276</v>
      </c>
      <c r="H201" s="41" t="s">
        <v>136</v>
      </c>
      <c r="I201" t="s">
        <v>277</v>
      </c>
      <c r="J201" t="s">
        <v>190</v>
      </c>
      <c r="K201" t="s">
        <v>139</v>
      </c>
      <c r="L201" s="17"/>
      <c r="M201" s="17"/>
      <c r="N201" s="17" t="s">
        <v>264</v>
      </c>
      <c r="O201" s="36"/>
      <c r="P201" s="17"/>
      <c r="Q201" s="17"/>
      <c r="U201" t="s">
        <v>278</v>
      </c>
      <c r="V201" t="s">
        <v>278</v>
      </c>
      <c r="X201" s="31">
        <v>43985</v>
      </c>
      <c r="Y201" s="31">
        <v>43985</v>
      </c>
      <c r="AA201" s="31"/>
      <c r="AB201" t="s">
        <v>9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1</v>
      </c>
      <c r="AI201">
        <v>50036</v>
      </c>
      <c r="AJ201">
        <v>2111</v>
      </c>
      <c r="AK201">
        <v>100</v>
      </c>
      <c r="AL201">
        <v>19</v>
      </c>
      <c r="AO201" s="41"/>
      <c r="AP201" s="41"/>
      <c r="AQ201" t="str">
        <f t="shared" si="4"/>
        <v/>
      </c>
      <c r="AS201" t="str">
        <f t="shared" si="5"/>
        <v>wci_corp</v>
      </c>
    </row>
    <row r="202" spans="2:45" x14ac:dyDescent="0.2">
      <c r="B202" t="s">
        <v>194</v>
      </c>
      <c r="C202" s="31">
        <v>43982</v>
      </c>
      <c r="D202" s="15">
        <v>-7926.74</v>
      </c>
      <c r="E202" s="15">
        <v>0</v>
      </c>
      <c r="F202" s="53" t="s">
        <v>134</v>
      </c>
      <c r="G202" t="s">
        <v>276</v>
      </c>
      <c r="H202" s="41" t="s">
        <v>136</v>
      </c>
      <c r="I202" t="s">
        <v>277</v>
      </c>
      <c r="J202" t="s">
        <v>190</v>
      </c>
      <c r="K202" t="s">
        <v>139</v>
      </c>
      <c r="L202" s="17"/>
      <c r="M202" s="17"/>
      <c r="N202" s="17" t="s">
        <v>263</v>
      </c>
      <c r="O202" s="36"/>
      <c r="P202" s="17"/>
      <c r="Q202" s="17"/>
      <c r="U202" t="s">
        <v>278</v>
      </c>
      <c r="V202" t="s">
        <v>278</v>
      </c>
      <c r="X202" s="31">
        <v>43985</v>
      </c>
      <c r="Y202" s="31">
        <v>43985</v>
      </c>
      <c r="AA202" s="31"/>
      <c r="AB202" t="s">
        <v>9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1</v>
      </c>
      <c r="AI202">
        <v>50036</v>
      </c>
      <c r="AJ202">
        <v>2111</v>
      </c>
      <c r="AK202">
        <v>200</v>
      </c>
      <c r="AL202">
        <v>19</v>
      </c>
      <c r="AO202" s="41"/>
      <c r="AP202" s="41"/>
      <c r="AQ202" t="str">
        <f t="shared" si="4"/>
        <v/>
      </c>
      <c r="AS202" t="str">
        <f t="shared" si="5"/>
        <v>wci_corp</v>
      </c>
    </row>
    <row r="203" spans="2:45" x14ac:dyDescent="0.2">
      <c r="B203" t="s">
        <v>194</v>
      </c>
      <c r="C203" s="31">
        <v>43982</v>
      </c>
      <c r="D203" s="15">
        <v>-3675.1</v>
      </c>
      <c r="E203" s="15">
        <v>0</v>
      </c>
      <c r="F203" s="53" t="s">
        <v>134</v>
      </c>
      <c r="G203" t="s">
        <v>276</v>
      </c>
      <c r="H203" s="41" t="s">
        <v>136</v>
      </c>
      <c r="I203" t="s">
        <v>277</v>
      </c>
      <c r="J203" t="s">
        <v>190</v>
      </c>
      <c r="K203" t="s">
        <v>139</v>
      </c>
      <c r="L203" s="17"/>
      <c r="M203" s="17"/>
      <c r="N203" s="17" t="s">
        <v>264</v>
      </c>
      <c r="O203" s="36"/>
      <c r="P203" s="17"/>
      <c r="Q203" s="17"/>
      <c r="U203" t="s">
        <v>278</v>
      </c>
      <c r="V203" t="s">
        <v>278</v>
      </c>
      <c r="X203" s="31">
        <v>43985</v>
      </c>
      <c r="Y203" s="31">
        <v>43985</v>
      </c>
      <c r="AA203" s="31"/>
      <c r="AB203" t="s">
        <v>9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1</v>
      </c>
      <c r="AI203">
        <v>50036</v>
      </c>
      <c r="AJ203">
        <v>2111</v>
      </c>
      <c r="AK203">
        <v>200</v>
      </c>
      <c r="AL203">
        <v>19</v>
      </c>
      <c r="AO203" s="41"/>
      <c r="AP203" s="41"/>
      <c r="AQ203" t="str">
        <f t="shared" si="4"/>
        <v/>
      </c>
      <c r="AS203" t="str">
        <f t="shared" si="5"/>
        <v>wci_corp</v>
      </c>
    </row>
    <row r="204" spans="2:45" x14ac:dyDescent="0.2">
      <c r="B204" t="s">
        <v>195</v>
      </c>
      <c r="C204" s="31">
        <v>43982</v>
      </c>
      <c r="D204" s="15">
        <v>-389.76</v>
      </c>
      <c r="E204" s="15">
        <v>0</v>
      </c>
      <c r="F204" s="53" t="s">
        <v>134</v>
      </c>
      <c r="G204" t="s">
        <v>276</v>
      </c>
      <c r="H204" s="41" t="s">
        <v>136</v>
      </c>
      <c r="I204" t="s">
        <v>277</v>
      </c>
      <c r="J204" t="s">
        <v>190</v>
      </c>
      <c r="K204" t="s">
        <v>139</v>
      </c>
      <c r="L204" s="17"/>
      <c r="M204" s="17"/>
      <c r="N204" s="17" t="s">
        <v>263</v>
      </c>
      <c r="O204" s="36"/>
      <c r="P204" s="17"/>
      <c r="Q204" s="17"/>
      <c r="U204" t="s">
        <v>278</v>
      </c>
      <c r="V204" t="s">
        <v>278</v>
      </c>
      <c r="X204" s="31">
        <v>43985</v>
      </c>
      <c r="Y204" s="31">
        <v>43985</v>
      </c>
      <c r="AA204" s="31"/>
      <c r="AB204" t="s">
        <v>9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1</v>
      </c>
      <c r="AI204">
        <v>50036</v>
      </c>
      <c r="AJ204">
        <v>2111</v>
      </c>
      <c r="AK204">
        <v>201</v>
      </c>
      <c r="AL204">
        <v>19</v>
      </c>
      <c r="AO204" s="41"/>
      <c r="AP204" s="41"/>
      <c r="AQ204" t="str">
        <f t="shared" si="4"/>
        <v/>
      </c>
      <c r="AS204" t="str">
        <f t="shared" si="5"/>
        <v>wci_corp</v>
      </c>
    </row>
    <row r="205" spans="2:45" x14ac:dyDescent="0.2">
      <c r="B205" t="s">
        <v>195</v>
      </c>
      <c r="C205" s="31">
        <v>43982</v>
      </c>
      <c r="D205" s="15">
        <v>-206.36</v>
      </c>
      <c r="E205" s="15">
        <v>0</v>
      </c>
      <c r="F205" s="53" t="s">
        <v>134</v>
      </c>
      <c r="G205" t="s">
        <v>276</v>
      </c>
      <c r="H205" s="41" t="s">
        <v>136</v>
      </c>
      <c r="I205" t="s">
        <v>277</v>
      </c>
      <c r="J205" t="s">
        <v>190</v>
      </c>
      <c r="K205" t="s">
        <v>139</v>
      </c>
      <c r="L205" s="17"/>
      <c r="M205" s="17"/>
      <c r="N205" s="17" t="s">
        <v>264</v>
      </c>
      <c r="O205" s="36"/>
      <c r="P205" s="17"/>
      <c r="Q205" s="17"/>
      <c r="U205" t="s">
        <v>278</v>
      </c>
      <c r="V205" t="s">
        <v>278</v>
      </c>
      <c r="X205" s="31">
        <v>43985</v>
      </c>
      <c r="Y205" s="31">
        <v>43985</v>
      </c>
      <c r="AA205" s="31"/>
      <c r="AB205" t="s">
        <v>9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1</v>
      </c>
      <c r="AI205">
        <v>50036</v>
      </c>
      <c r="AJ205">
        <v>2111</v>
      </c>
      <c r="AK205">
        <v>201</v>
      </c>
      <c r="AL205">
        <v>19</v>
      </c>
      <c r="AO205" s="41"/>
      <c r="AP205" s="41"/>
      <c r="AQ205" t="str">
        <f t="shared" si="4"/>
        <v/>
      </c>
      <c r="AS205" t="str">
        <f t="shared" si="5"/>
        <v>wci_corp</v>
      </c>
    </row>
    <row r="206" spans="2:45" x14ac:dyDescent="0.2">
      <c r="B206" t="s">
        <v>196</v>
      </c>
      <c r="C206" s="31">
        <v>43982</v>
      </c>
      <c r="D206" s="15">
        <v>-2188.2399999999998</v>
      </c>
      <c r="E206" s="15">
        <v>0</v>
      </c>
      <c r="F206" s="53" t="s">
        <v>134</v>
      </c>
      <c r="G206" t="s">
        <v>276</v>
      </c>
      <c r="H206" s="41" t="s">
        <v>136</v>
      </c>
      <c r="I206" t="s">
        <v>277</v>
      </c>
      <c r="J206" t="s">
        <v>190</v>
      </c>
      <c r="K206" t="s">
        <v>139</v>
      </c>
      <c r="L206" s="17"/>
      <c r="M206" s="17"/>
      <c r="N206" s="17" t="s">
        <v>263</v>
      </c>
      <c r="O206" s="36"/>
      <c r="P206" s="17"/>
      <c r="Q206" s="17"/>
      <c r="U206" t="s">
        <v>278</v>
      </c>
      <c r="V206" t="s">
        <v>278</v>
      </c>
      <c r="X206" s="31">
        <v>43985</v>
      </c>
      <c r="Y206" s="31">
        <v>43985</v>
      </c>
      <c r="AA206" s="31"/>
      <c r="AB206" t="s">
        <v>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1</v>
      </c>
      <c r="AI206">
        <v>50036</v>
      </c>
      <c r="AJ206">
        <v>2111</v>
      </c>
      <c r="AK206">
        <v>210</v>
      </c>
      <c r="AL206">
        <v>19</v>
      </c>
      <c r="AO206" s="41"/>
      <c r="AP206" s="41"/>
      <c r="AQ206" t="str">
        <f t="shared" si="4"/>
        <v/>
      </c>
      <c r="AS206" t="str">
        <f t="shared" si="5"/>
        <v>wci_corp</v>
      </c>
    </row>
    <row r="207" spans="2:45" x14ac:dyDescent="0.2">
      <c r="B207" t="s">
        <v>196</v>
      </c>
      <c r="C207" s="31">
        <v>43982</v>
      </c>
      <c r="D207" s="15">
        <v>-1201.68</v>
      </c>
      <c r="E207" s="15">
        <v>0</v>
      </c>
      <c r="F207" s="53" t="s">
        <v>134</v>
      </c>
      <c r="G207" t="s">
        <v>276</v>
      </c>
      <c r="H207" s="41" t="s">
        <v>136</v>
      </c>
      <c r="I207" t="s">
        <v>277</v>
      </c>
      <c r="J207" t="s">
        <v>190</v>
      </c>
      <c r="K207" t="s">
        <v>139</v>
      </c>
      <c r="L207" s="17"/>
      <c r="M207" s="17"/>
      <c r="N207" s="17" t="s">
        <v>264</v>
      </c>
      <c r="O207" s="36"/>
      <c r="P207" s="17"/>
      <c r="Q207" s="17"/>
      <c r="U207" t="s">
        <v>278</v>
      </c>
      <c r="V207" t="s">
        <v>278</v>
      </c>
      <c r="X207" s="31">
        <v>43985</v>
      </c>
      <c r="Y207" s="31">
        <v>43985</v>
      </c>
      <c r="AA207" s="31"/>
      <c r="AB207" t="s">
        <v>9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1</v>
      </c>
      <c r="AI207">
        <v>50036</v>
      </c>
      <c r="AJ207">
        <v>2111</v>
      </c>
      <c r="AK207">
        <v>210</v>
      </c>
      <c r="AL207">
        <v>19</v>
      </c>
      <c r="AO207" s="41"/>
      <c r="AP207" s="41"/>
      <c r="AQ207" t="str">
        <f t="shared" si="4"/>
        <v/>
      </c>
      <c r="AS207" t="str">
        <f t="shared" si="5"/>
        <v>wci_corp</v>
      </c>
    </row>
    <row r="208" spans="2:45" x14ac:dyDescent="0.2">
      <c r="B208" t="s">
        <v>197</v>
      </c>
      <c r="C208" s="31">
        <v>43982</v>
      </c>
      <c r="D208" s="15">
        <v>-2705.58</v>
      </c>
      <c r="E208" s="15">
        <v>0</v>
      </c>
      <c r="F208" s="53" t="s">
        <v>134</v>
      </c>
      <c r="G208" t="s">
        <v>276</v>
      </c>
      <c r="H208" s="41" t="s">
        <v>136</v>
      </c>
      <c r="I208" t="s">
        <v>277</v>
      </c>
      <c r="J208" t="s">
        <v>190</v>
      </c>
      <c r="K208" t="s">
        <v>139</v>
      </c>
      <c r="L208" s="17"/>
      <c r="M208" s="17"/>
      <c r="N208" s="17" t="s">
        <v>263</v>
      </c>
      <c r="O208" s="36"/>
      <c r="P208" s="17"/>
      <c r="Q208" s="17"/>
      <c r="U208" t="s">
        <v>278</v>
      </c>
      <c r="V208" t="s">
        <v>278</v>
      </c>
      <c r="X208" s="31">
        <v>43985</v>
      </c>
      <c r="Y208" s="31">
        <v>43985</v>
      </c>
      <c r="AA208" s="31"/>
      <c r="AB208" t="s">
        <v>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1</v>
      </c>
      <c r="AI208">
        <v>50036</v>
      </c>
      <c r="AJ208">
        <v>2111</v>
      </c>
      <c r="AK208">
        <v>300</v>
      </c>
      <c r="AL208">
        <v>19</v>
      </c>
      <c r="AO208" s="41"/>
      <c r="AP208" s="41"/>
      <c r="AQ208" t="str">
        <f t="shared" si="4"/>
        <v/>
      </c>
      <c r="AS208" t="str">
        <f t="shared" si="5"/>
        <v>wci_corp</v>
      </c>
    </row>
    <row r="209" spans="2:45" x14ac:dyDescent="0.2">
      <c r="B209" t="s">
        <v>197</v>
      </c>
      <c r="C209" s="31">
        <v>43982</v>
      </c>
      <c r="D209" s="15">
        <v>-1288.3599999999999</v>
      </c>
      <c r="E209" s="15">
        <v>0</v>
      </c>
      <c r="F209" s="53" t="s">
        <v>134</v>
      </c>
      <c r="G209" t="s">
        <v>276</v>
      </c>
      <c r="H209" s="41" t="s">
        <v>136</v>
      </c>
      <c r="I209" t="s">
        <v>277</v>
      </c>
      <c r="J209" t="s">
        <v>190</v>
      </c>
      <c r="K209" t="s">
        <v>139</v>
      </c>
      <c r="L209" s="17"/>
      <c r="M209" s="17"/>
      <c r="N209" s="17" t="s">
        <v>264</v>
      </c>
      <c r="O209" s="36"/>
      <c r="P209" s="17"/>
      <c r="Q209" s="17"/>
      <c r="U209" t="s">
        <v>278</v>
      </c>
      <c r="V209" t="s">
        <v>278</v>
      </c>
      <c r="X209" s="31">
        <v>43985</v>
      </c>
      <c r="Y209" s="31">
        <v>43985</v>
      </c>
      <c r="AA209" s="31"/>
      <c r="AB209" t="s">
        <v>9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1</v>
      </c>
      <c r="AI209">
        <v>50036</v>
      </c>
      <c r="AJ209">
        <v>2111</v>
      </c>
      <c r="AK209">
        <v>300</v>
      </c>
      <c r="AL209">
        <v>19</v>
      </c>
      <c r="AO209" s="41"/>
      <c r="AP209" s="41"/>
      <c r="AQ209" t="str">
        <f t="shared" si="4"/>
        <v/>
      </c>
      <c r="AS209" t="str">
        <f t="shared" si="5"/>
        <v>wci_corp</v>
      </c>
    </row>
    <row r="210" spans="2:45" x14ac:dyDescent="0.2">
      <c r="B210" t="s">
        <v>198</v>
      </c>
      <c r="C210" s="31">
        <v>43982</v>
      </c>
      <c r="D210" s="15">
        <v>-1056.6199999999999</v>
      </c>
      <c r="E210" s="15">
        <v>0</v>
      </c>
      <c r="F210" s="53" t="s">
        <v>134</v>
      </c>
      <c r="G210" t="s">
        <v>276</v>
      </c>
      <c r="H210" s="41" t="s">
        <v>136</v>
      </c>
      <c r="I210" t="s">
        <v>277</v>
      </c>
      <c r="J210" t="s">
        <v>190</v>
      </c>
      <c r="K210" t="s">
        <v>139</v>
      </c>
      <c r="L210" s="17"/>
      <c r="M210" s="17"/>
      <c r="N210" s="17" t="s">
        <v>263</v>
      </c>
      <c r="O210" s="36"/>
      <c r="P210" s="17"/>
      <c r="Q210" s="17"/>
      <c r="U210" t="s">
        <v>278</v>
      </c>
      <c r="V210" t="s">
        <v>278</v>
      </c>
      <c r="X210" s="31">
        <v>43985</v>
      </c>
      <c r="Y210" s="31">
        <v>43985</v>
      </c>
      <c r="AA210" s="31"/>
      <c r="AB210" t="s">
        <v>9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1</v>
      </c>
      <c r="AI210">
        <v>50036</v>
      </c>
      <c r="AJ210">
        <v>2111</v>
      </c>
      <c r="AK210">
        <v>500</v>
      </c>
      <c r="AL210">
        <v>19</v>
      </c>
      <c r="AO210" s="41"/>
      <c r="AP210" s="41"/>
      <c r="AQ210" t="str">
        <f t="shared" si="4"/>
        <v/>
      </c>
      <c r="AS210" t="str">
        <f t="shared" si="5"/>
        <v>wci_corp</v>
      </c>
    </row>
    <row r="211" spans="2:45" x14ac:dyDescent="0.2">
      <c r="B211" t="s">
        <v>198</v>
      </c>
      <c r="C211" s="31">
        <v>43982</v>
      </c>
      <c r="D211" s="15">
        <v>-535.17999999999995</v>
      </c>
      <c r="E211" s="15">
        <v>0</v>
      </c>
      <c r="F211" s="53" t="s">
        <v>134</v>
      </c>
      <c r="G211" t="s">
        <v>276</v>
      </c>
      <c r="H211" s="41" t="s">
        <v>136</v>
      </c>
      <c r="I211" t="s">
        <v>277</v>
      </c>
      <c r="J211" t="s">
        <v>190</v>
      </c>
      <c r="K211" t="s">
        <v>139</v>
      </c>
      <c r="L211" s="17"/>
      <c r="M211" s="17"/>
      <c r="N211" s="17" t="s">
        <v>264</v>
      </c>
      <c r="O211" s="36"/>
      <c r="P211" s="17"/>
      <c r="Q211" s="17"/>
      <c r="U211" t="s">
        <v>278</v>
      </c>
      <c r="V211" t="s">
        <v>278</v>
      </c>
      <c r="X211" s="31">
        <v>43985</v>
      </c>
      <c r="Y211" s="31">
        <v>43985</v>
      </c>
      <c r="AA211" s="31"/>
      <c r="AB211" t="s">
        <v>9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1</v>
      </c>
      <c r="AI211">
        <v>50036</v>
      </c>
      <c r="AJ211">
        <v>2111</v>
      </c>
      <c r="AK211">
        <v>500</v>
      </c>
      <c r="AL211">
        <v>19</v>
      </c>
      <c r="AO211" s="41"/>
      <c r="AP211" s="41"/>
      <c r="AQ211" t="str">
        <f t="shared" si="4"/>
        <v/>
      </c>
      <c r="AS211" t="str">
        <f t="shared" si="5"/>
        <v>wci_corp</v>
      </c>
    </row>
    <row r="212" spans="2:45" x14ac:dyDescent="0.2">
      <c r="B212" t="s">
        <v>162</v>
      </c>
      <c r="C212" s="31">
        <v>43982</v>
      </c>
      <c r="D212" s="15">
        <v>-4309.26</v>
      </c>
      <c r="E212" s="15">
        <v>0</v>
      </c>
      <c r="F212" s="53" t="s">
        <v>134</v>
      </c>
      <c r="G212" t="s">
        <v>276</v>
      </c>
      <c r="H212" s="41" t="s">
        <v>136</v>
      </c>
      <c r="I212" t="s">
        <v>277</v>
      </c>
      <c r="J212" t="s">
        <v>190</v>
      </c>
      <c r="K212" t="s">
        <v>139</v>
      </c>
      <c r="L212" s="17"/>
      <c r="M212" s="17"/>
      <c r="N212" s="17" t="s">
        <v>263</v>
      </c>
      <c r="O212" s="36"/>
      <c r="P212" s="17"/>
      <c r="Q212" s="17"/>
      <c r="U212" t="s">
        <v>278</v>
      </c>
      <c r="V212" t="s">
        <v>278</v>
      </c>
      <c r="X212" s="31">
        <v>43985</v>
      </c>
      <c r="Y212" s="31">
        <v>43985</v>
      </c>
      <c r="AA212" s="31"/>
      <c r="AB212" t="s">
        <v>9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1</v>
      </c>
      <c r="AI212">
        <v>52036</v>
      </c>
      <c r="AJ212">
        <v>2111</v>
      </c>
      <c r="AK212">
        <v>0</v>
      </c>
      <c r="AL212">
        <v>19</v>
      </c>
      <c r="AO212" s="41"/>
      <c r="AP212" s="41"/>
      <c r="AQ212" t="str">
        <f t="shared" si="4"/>
        <v/>
      </c>
      <c r="AS212" t="str">
        <f t="shared" si="5"/>
        <v>wci_corp</v>
      </c>
    </row>
    <row r="213" spans="2:45" x14ac:dyDescent="0.2">
      <c r="B213" t="s">
        <v>162</v>
      </c>
      <c r="C213" s="31">
        <v>43982</v>
      </c>
      <c r="D213" s="15">
        <v>-2216.9</v>
      </c>
      <c r="E213" s="15">
        <v>0</v>
      </c>
      <c r="F213" s="53" t="s">
        <v>134</v>
      </c>
      <c r="G213" t="s">
        <v>276</v>
      </c>
      <c r="H213" s="41" t="s">
        <v>136</v>
      </c>
      <c r="I213" t="s">
        <v>277</v>
      </c>
      <c r="J213" t="s">
        <v>190</v>
      </c>
      <c r="K213" t="s">
        <v>139</v>
      </c>
      <c r="L213" s="17"/>
      <c r="M213" s="17"/>
      <c r="N213" s="17" t="s">
        <v>264</v>
      </c>
      <c r="O213" s="36"/>
      <c r="P213" s="17"/>
      <c r="Q213" s="17"/>
      <c r="U213" t="s">
        <v>278</v>
      </c>
      <c r="V213" t="s">
        <v>278</v>
      </c>
      <c r="X213" s="31">
        <v>43985</v>
      </c>
      <c r="Y213" s="31">
        <v>43985</v>
      </c>
      <c r="AA213" s="31"/>
      <c r="AB213" t="s">
        <v>9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</v>
      </c>
      <c r="AI213">
        <v>52036</v>
      </c>
      <c r="AJ213">
        <v>2111</v>
      </c>
      <c r="AK213">
        <v>0</v>
      </c>
      <c r="AL213">
        <v>19</v>
      </c>
      <c r="AO213" s="41"/>
      <c r="AP213" s="41"/>
      <c r="AQ213" t="str">
        <f t="shared" ref="AQ213:AQ276" si="6">IF(LEFT(U213,2)="VO",U213,"")</f>
        <v/>
      </c>
      <c r="AS213" t="str">
        <f t="shared" ref="AS213:AS276" si="7">IF(RIGHT(K213,2)="IC",IF(OR(AB213="wci_canada",AB213="wci_can_corp"),"wci_can_Corp","wci_corp"),AB213)</f>
        <v>wci_corp</v>
      </c>
    </row>
    <row r="214" spans="2:45" x14ac:dyDescent="0.2">
      <c r="B214" t="s">
        <v>164</v>
      </c>
      <c r="C214" s="31">
        <v>43982</v>
      </c>
      <c r="D214" s="15">
        <v>-1070.3399999999999</v>
      </c>
      <c r="E214" s="15">
        <v>0</v>
      </c>
      <c r="F214" s="53" t="s">
        <v>134</v>
      </c>
      <c r="G214" t="s">
        <v>276</v>
      </c>
      <c r="H214" s="41" t="s">
        <v>136</v>
      </c>
      <c r="I214" t="s">
        <v>277</v>
      </c>
      <c r="J214" t="s">
        <v>190</v>
      </c>
      <c r="K214" t="s">
        <v>139</v>
      </c>
      <c r="L214" s="17"/>
      <c r="M214" s="17"/>
      <c r="N214" s="17" t="s">
        <v>263</v>
      </c>
      <c r="O214" s="36"/>
      <c r="P214" s="17"/>
      <c r="Q214" s="17"/>
      <c r="U214" t="s">
        <v>278</v>
      </c>
      <c r="V214" t="s">
        <v>278</v>
      </c>
      <c r="X214" s="31">
        <v>43985</v>
      </c>
      <c r="Y214" s="31">
        <v>43985</v>
      </c>
      <c r="AA214" s="31"/>
      <c r="AB214" t="s">
        <v>9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1</v>
      </c>
      <c r="AI214">
        <v>55036</v>
      </c>
      <c r="AJ214">
        <v>2111</v>
      </c>
      <c r="AK214">
        <v>0</v>
      </c>
      <c r="AL214">
        <v>19</v>
      </c>
      <c r="AO214" s="41"/>
      <c r="AP214" s="41"/>
      <c r="AQ214" t="str">
        <f t="shared" si="6"/>
        <v/>
      </c>
      <c r="AS214" t="str">
        <f t="shared" si="7"/>
        <v>wci_corp</v>
      </c>
    </row>
    <row r="215" spans="2:45" x14ac:dyDescent="0.2">
      <c r="B215" t="s">
        <v>164</v>
      </c>
      <c r="C215" s="31">
        <v>43982</v>
      </c>
      <c r="D215" s="15">
        <v>-571.44000000000005</v>
      </c>
      <c r="E215" s="15">
        <v>0</v>
      </c>
      <c r="F215" s="53" t="s">
        <v>134</v>
      </c>
      <c r="G215" t="s">
        <v>276</v>
      </c>
      <c r="H215" s="41" t="s">
        <v>136</v>
      </c>
      <c r="I215" t="s">
        <v>277</v>
      </c>
      <c r="J215" t="s">
        <v>190</v>
      </c>
      <c r="K215" t="s">
        <v>139</v>
      </c>
      <c r="L215" s="17"/>
      <c r="M215" s="17"/>
      <c r="N215" s="17" t="s">
        <v>264</v>
      </c>
      <c r="O215" s="36"/>
      <c r="P215" s="17"/>
      <c r="Q215" s="17"/>
      <c r="U215" t="s">
        <v>278</v>
      </c>
      <c r="V215" t="s">
        <v>278</v>
      </c>
      <c r="X215" s="31">
        <v>43985</v>
      </c>
      <c r="Y215" s="31">
        <v>43985</v>
      </c>
      <c r="AA215" s="31"/>
      <c r="AB215" t="s">
        <v>9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1</v>
      </c>
      <c r="AI215">
        <v>55036</v>
      </c>
      <c r="AJ215">
        <v>2111</v>
      </c>
      <c r="AK215">
        <v>0</v>
      </c>
      <c r="AL215">
        <v>19</v>
      </c>
      <c r="AO215" s="41"/>
      <c r="AP215" s="41"/>
      <c r="AQ215" t="str">
        <f t="shared" si="6"/>
        <v/>
      </c>
      <c r="AS215" t="str">
        <f t="shared" si="7"/>
        <v>wci_corp</v>
      </c>
    </row>
    <row r="216" spans="2:45" x14ac:dyDescent="0.2">
      <c r="B216" t="s">
        <v>166</v>
      </c>
      <c r="C216" s="31">
        <v>43982</v>
      </c>
      <c r="D216" s="15">
        <v>-500</v>
      </c>
      <c r="E216" s="15">
        <v>0</v>
      </c>
      <c r="F216" s="53" t="s">
        <v>134</v>
      </c>
      <c r="G216" t="s">
        <v>276</v>
      </c>
      <c r="H216" s="41" t="s">
        <v>136</v>
      </c>
      <c r="I216" t="s">
        <v>277</v>
      </c>
      <c r="J216" t="s">
        <v>190</v>
      </c>
      <c r="K216" t="s">
        <v>139</v>
      </c>
      <c r="L216" s="17"/>
      <c r="M216" s="17"/>
      <c r="N216" s="17" t="s">
        <v>263</v>
      </c>
      <c r="O216" s="36"/>
      <c r="P216" s="17"/>
      <c r="Q216" s="17"/>
      <c r="U216" t="s">
        <v>278</v>
      </c>
      <c r="V216" t="s">
        <v>278</v>
      </c>
      <c r="X216" s="31">
        <v>43985</v>
      </c>
      <c r="Y216" s="31">
        <v>43985</v>
      </c>
      <c r="AA216" s="31"/>
      <c r="AB216" t="s">
        <v>9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1</v>
      </c>
      <c r="AI216">
        <v>56036</v>
      </c>
      <c r="AJ216">
        <v>2111</v>
      </c>
      <c r="AK216">
        <v>0</v>
      </c>
      <c r="AL216">
        <v>19</v>
      </c>
      <c r="AO216" s="41"/>
      <c r="AP216" s="41"/>
      <c r="AQ216" t="str">
        <f t="shared" si="6"/>
        <v/>
      </c>
      <c r="AS216" t="str">
        <f t="shared" si="7"/>
        <v>wci_corp</v>
      </c>
    </row>
    <row r="217" spans="2:45" x14ac:dyDescent="0.2">
      <c r="B217" t="s">
        <v>166</v>
      </c>
      <c r="C217" s="31">
        <v>43982</v>
      </c>
      <c r="D217" s="15">
        <v>-250</v>
      </c>
      <c r="E217" s="15">
        <v>0</v>
      </c>
      <c r="F217" s="53" t="s">
        <v>134</v>
      </c>
      <c r="G217" t="s">
        <v>276</v>
      </c>
      <c r="H217" s="41" t="s">
        <v>136</v>
      </c>
      <c r="I217" t="s">
        <v>277</v>
      </c>
      <c r="J217" t="s">
        <v>190</v>
      </c>
      <c r="K217" t="s">
        <v>139</v>
      </c>
      <c r="L217" s="17"/>
      <c r="M217" s="17"/>
      <c r="N217" s="17" t="s">
        <v>264</v>
      </c>
      <c r="O217" s="36"/>
      <c r="P217" s="17"/>
      <c r="Q217" s="17"/>
      <c r="U217" t="s">
        <v>278</v>
      </c>
      <c r="V217" t="s">
        <v>278</v>
      </c>
      <c r="X217" s="31">
        <v>43985</v>
      </c>
      <c r="Y217" s="31">
        <v>43985</v>
      </c>
      <c r="AA217" s="31"/>
      <c r="AB217" t="s">
        <v>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1</v>
      </c>
      <c r="AI217">
        <v>56036</v>
      </c>
      <c r="AJ217">
        <v>2111</v>
      </c>
      <c r="AK217">
        <v>0</v>
      </c>
      <c r="AL217">
        <v>19</v>
      </c>
      <c r="AO217" s="41"/>
      <c r="AP217" s="41"/>
      <c r="AQ217" t="str">
        <f t="shared" si="6"/>
        <v/>
      </c>
      <c r="AS217" t="str">
        <f t="shared" si="7"/>
        <v>wci_corp</v>
      </c>
    </row>
    <row r="218" spans="2:45" x14ac:dyDescent="0.2">
      <c r="B218" t="s">
        <v>201</v>
      </c>
      <c r="C218" s="31">
        <v>43982</v>
      </c>
      <c r="D218" s="15">
        <v>-750</v>
      </c>
      <c r="E218" s="15">
        <v>0</v>
      </c>
      <c r="F218" s="53" t="s">
        <v>134</v>
      </c>
      <c r="G218" t="s">
        <v>276</v>
      </c>
      <c r="H218" s="41" t="s">
        <v>136</v>
      </c>
      <c r="I218" t="s">
        <v>277</v>
      </c>
      <c r="J218" t="s">
        <v>190</v>
      </c>
      <c r="K218" t="s">
        <v>139</v>
      </c>
      <c r="L218" s="17"/>
      <c r="M218" s="17"/>
      <c r="N218" s="17" t="s">
        <v>263</v>
      </c>
      <c r="O218" s="36"/>
      <c r="P218" s="17"/>
      <c r="Q218" s="17"/>
      <c r="U218" t="s">
        <v>278</v>
      </c>
      <c r="V218" t="s">
        <v>278</v>
      </c>
      <c r="X218" s="31">
        <v>43985</v>
      </c>
      <c r="Y218" s="31">
        <v>43985</v>
      </c>
      <c r="AA218" s="31"/>
      <c r="AB218" t="s">
        <v>9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1</v>
      </c>
      <c r="AI218">
        <v>56036</v>
      </c>
      <c r="AJ218">
        <v>2111</v>
      </c>
      <c r="AK218">
        <v>700</v>
      </c>
      <c r="AL218">
        <v>19</v>
      </c>
      <c r="AO218" s="41"/>
      <c r="AP218" s="41"/>
      <c r="AQ218" t="str">
        <f t="shared" si="6"/>
        <v/>
      </c>
      <c r="AS218" t="str">
        <f t="shared" si="7"/>
        <v>wci_corp</v>
      </c>
    </row>
    <row r="219" spans="2:45" x14ac:dyDescent="0.2">
      <c r="B219" t="s">
        <v>201</v>
      </c>
      <c r="C219" s="31">
        <v>43982</v>
      </c>
      <c r="D219" s="15">
        <v>-375</v>
      </c>
      <c r="E219" s="15">
        <v>0</v>
      </c>
      <c r="F219" s="53" t="s">
        <v>134</v>
      </c>
      <c r="G219" t="s">
        <v>276</v>
      </c>
      <c r="H219" s="41" t="s">
        <v>136</v>
      </c>
      <c r="I219" t="s">
        <v>277</v>
      </c>
      <c r="J219" t="s">
        <v>190</v>
      </c>
      <c r="K219" t="s">
        <v>139</v>
      </c>
      <c r="L219" s="17"/>
      <c r="M219" s="17"/>
      <c r="N219" s="17" t="s">
        <v>264</v>
      </c>
      <c r="O219" s="36"/>
      <c r="P219" s="17"/>
      <c r="Q219" s="17"/>
      <c r="U219" t="s">
        <v>278</v>
      </c>
      <c r="V219" t="s">
        <v>278</v>
      </c>
      <c r="X219" s="31">
        <v>43985</v>
      </c>
      <c r="Y219" s="31">
        <v>43985</v>
      </c>
      <c r="AA219" s="31"/>
      <c r="AB219" t="s">
        <v>9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1</v>
      </c>
      <c r="AI219">
        <v>56036</v>
      </c>
      <c r="AJ219">
        <v>2111</v>
      </c>
      <c r="AK219">
        <v>700</v>
      </c>
      <c r="AL219">
        <v>19</v>
      </c>
      <c r="AO219" s="41"/>
      <c r="AP219" s="41"/>
      <c r="AQ219" t="str">
        <f t="shared" si="6"/>
        <v/>
      </c>
      <c r="AS219" t="str">
        <f t="shared" si="7"/>
        <v>wci_corp</v>
      </c>
    </row>
    <row r="220" spans="2:45" x14ac:dyDescent="0.2">
      <c r="B220" t="s">
        <v>168</v>
      </c>
      <c r="C220" s="31">
        <v>43982</v>
      </c>
      <c r="D220" s="15">
        <v>-3909.06</v>
      </c>
      <c r="E220" s="15">
        <v>0</v>
      </c>
      <c r="F220" s="53" t="s">
        <v>134</v>
      </c>
      <c r="G220" t="s">
        <v>276</v>
      </c>
      <c r="H220" s="41" t="s">
        <v>136</v>
      </c>
      <c r="I220" t="s">
        <v>277</v>
      </c>
      <c r="J220" t="s">
        <v>190</v>
      </c>
      <c r="K220" t="s">
        <v>139</v>
      </c>
      <c r="L220" s="17"/>
      <c r="M220" s="17"/>
      <c r="N220" s="17" t="s">
        <v>263</v>
      </c>
      <c r="O220" s="36"/>
      <c r="P220" s="17"/>
      <c r="Q220" s="17"/>
      <c r="U220" t="s">
        <v>278</v>
      </c>
      <c r="V220" t="s">
        <v>278</v>
      </c>
      <c r="X220" s="31">
        <v>43985</v>
      </c>
      <c r="Y220" s="31">
        <v>43985</v>
      </c>
      <c r="AA220" s="31"/>
      <c r="AB220" t="s">
        <v>9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1</v>
      </c>
      <c r="AI220">
        <v>70036</v>
      </c>
      <c r="AJ220">
        <v>2111</v>
      </c>
      <c r="AK220">
        <v>0</v>
      </c>
      <c r="AL220">
        <v>19</v>
      </c>
      <c r="AO220" s="41"/>
      <c r="AP220" s="41"/>
      <c r="AQ220" t="str">
        <f t="shared" si="6"/>
        <v/>
      </c>
      <c r="AS220" t="str">
        <f t="shared" si="7"/>
        <v>wci_corp</v>
      </c>
    </row>
    <row r="221" spans="2:45" x14ac:dyDescent="0.2">
      <c r="B221" t="s">
        <v>168</v>
      </c>
      <c r="C221" s="31">
        <v>43982</v>
      </c>
      <c r="D221" s="15">
        <v>-1935.02</v>
      </c>
      <c r="E221" s="15">
        <v>0</v>
      </c>
      <c r="F221" s="53" t="s">
        <v>134</v>
      </c>
      <c r="G221" t="s">
        <v>276</v>
      </c>
      <c r="H221" s="41" t="s">
        <v>136</v>
      </c>
      <c r="I221" t="s">
        <v>277</v>
      </c>
      <c r="J221" t="s">
        <v>190</v>
      </c>
      <c r="K221" t="s">
        <v>139</v>
      </c>
      <c r="L221" s="17"/>
      <c r="M221" s="17"/>
      <c r="N221" s="17" t="s">
        <v>264</v>
      </c>
      <c r="O221" s="36"/>
      <c r="P221" s="17"/>
      <c r="Q221" s="17"/>
      <c r="U221" t="s">
        <v>278</v>
      </c>
      <c r="V221" t="s">
        <v>278</v>
      </c>
      <c r="X221" s="31">
        <v>43985</v>
      </c>
      <c r="Y221" s="31">
        <v>43985</v>
      </c>
      <c r="AA221" s="31"/>
      <c r="AB221" t="s">
        <v>9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1</v>
      </c>
      <c r="AI221">
        <v>70036</v>
      </c>
      <c r="AJ221">
        <v>2111</v>
      </c>
      <c r="AK221">
        <v>0</v>
      </c>
      <c r="AL221">
        <v>19</v>
      </c>
      <c r="AO221" s="41"/>
      <c r="AP221" s="41"/>
      <c r="AQ221" t="str">
        <f t="shared" si="6"/>
        <v/>
      </c>
      <c r="AS221" t="str">
        <f t="shared" si="7"/>
        <v>wci_corp</v>
      </c>
    </row>
    <row r="222" spans="2:45" x14ac:dyDescent="0.2">
      <c r="B222" t="s">
        <v>168</v>
      </c>
      <c r="C222" s="31">
        <v>43982</v>
      </c>
      <c r="D222" s="15">
        <v>-250</v>
      </c>
      <c r="E222" s="15">
        <v>0</v>
      </c>
      <c r="F222" s="53" t="s">
        <v>134</v>
      </c>
      <c r="G222" t="s">
        <v>276</v>
      </c>
      <c r="H222" s="41" t="s">
        <v>136</v>
      </c>
      <c r="I222" t="s">
        <v>277</v>
      </c>
      <c r="J222" t="s">
        <v>190</v>
      </c>
      <c r="K222" t="s">
        <v>139</v>
      </c>
      <c r="L222" s="17"/>
      <c r="M222" s="17"/>
      <c r="N222" s="17" t="s">
        <v>263</v>
      </c>
      <c r="O222" s="36"/>
      <c r="P222" s="17"/>
      <c r="Q222" s="17"/>
      <c r="U222" t="s">
        <v>278</v>
      </c>
      <c r="V222" t="s">
        <v>278</v>
      </c>
      <c r="X222" s="31">
        <v>43985</v>
      </c>
      <c r="Y222" s="31">
        <v>43985</v>
      </c>
      <c r="AA222" s="31"/>
      <c r="AB222" t="s">
        <v>9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1</v>
      </c>
      <c r="AI222">
        <v>70036</v>
      </c>
      <c r="AJ222">
        <v>2111</v>
      </c>
      <c r="AK222">
        <v>0</v>
      </c>
      <c r="AL222">
        <v>19</v>
      </c>
      <c r="AO222" s="41"/>
      <c r="AP222" s="41"/>
      <c r="AQ222" t="str">
        <f t="shared" si="6"/>
        <v/>
      </c>
      <c r="AS222" t="str">
        <f t="shared" si="7"/>
        <v>wci_corp</v>
      </c>
    </row>
    <row r="223" spans="2:45" x14ac:dyDescent="0.2">
      <c r="B223" t="s">
        <v>168</v>
      </c>
      <c r="C223" s="31">
        <v>43982</v>
      </c>
      <c r="D223" s="15">
        <v>-125</v>
      </c>
      <c r="E223" s="15">
        <v>0</v>
      </c>
      <c r="F223" s="53" t="s">
        <v>134</v>
      </c>
      <c r="G223" t="s">
        <v>276</v>
      </c>
      <c r="H223" s="41" t="s">
        <v>136</v>
      </c>
      <c r="I223" t="s">
        <v>277</v>
      </c>
      <c r="J223" t="s">
        <v>190</v>
      </c>
      <c r="K223" t="s">
        <v>139</v>
      </c>
      <c r="L223" s="17"/>
      <c r="M223" s="17"/>
      <c r="N223" s="17" t="s">
        <v>264</v>
      </c>
      <c r="O223" s="36"/>
      <c r="P223" s="17"/>
      <c r="Q223" s="17"/>
      <c r="U223" t="s">
        <v>278</v>
      </c>
      <c r="V223" t="s">
        <v>278</v>
      </c>
      <c r="X223" s="31">
        <v>43985</v>
      </c>
      <c r="Y223" s="31">
        <v>43985</v>
      </c>
      <c r="AA223" s="31"/>
      <c r="AB223" t="s">
        <v>9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1</v>
      </c>
      <c r="AI223">
        <v>70036</v>
      </c>
      <c r="AJ223">
        <v>2111</v>
      </c>
      <c r="AK223">
        <v>0</v>
      </c>
      <c r="AL223">
        <v>19</v>
      </c>
      <c r="AO223" s="41"/>
      <c r="AP223" s="41"/>
      <c r="AQ223" t="str">
        <f t="shared" si="6"/>
        <v/>
      </c>
      <c r="AS223" t="str">
        <f t="shared" si="7"/>
        <v>wci_corp</v>
      </c>
    </row>
    <row r="224" spans="2:45" x14ac:dyDescent="0.2">
      <c r="B224" t="s">
        <v>142</v>
      </c>
      <c r="C224" s="31">
        <v>43982</v>
      </c>
      <c r="D224" s="15">
        <v>-750</v>
      </c>
      <c r="E224" s="15">
        <v>0</v>
      </c>
      <c r="F224" s="53" t="s">
        <v>134</v>
      </c>
      <c r="G224" t="s">
        <v>276</v>
      </c>
      <c r="H224" s="41" t="s">
        <v>136</v>
      </c>
      <c r="I224" t="s">
        <v>277</v>
      </c>
      <c r="J224" t="s">
        <v>190</v>
      </c>
      <c r="K224" t="s">
        <v>139</v>
      </c>
      <c r="L224" s="17"/>
      <c r="M224" s="17"/>
      <c r="N224" s="17" t="s">
        <v>265</v>
      </c>
      <c r="O224" s="36"/>
      <c r="P224" s="17"/>
      <c r="Q224" s="17"/>
      <c r="U224" t="s">
        <v>278</v>
      </c>
      <c r="V224" t="s">
        <v>278</v>
      </c>
      <c r="X224" s="31">
        <v>43985</v>
      </c>
      <c r="Y224" s="31">
        <v>43985</v>
      </c>
      <c r="AA224" s="31"/>
      <c r="AB224" t="s">
        <v>9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1</v>
      </c>
      <c r="AI224">
        <v>70165</v>
      </c>
      <c r="AJ224">
        <v>2111</v>
      </c>
      <c r="AK224">
        <v>0</v>
      </c>
      <c r="AL224">
        <v>19</v>
      </c>
      <c r="AO224" s="41"/>
      <c r="AP224" s="41"/>
      <c r="AQ224" t="str">
        <f t="shared" si="6"/>
        <v/>
      </c>
      <c r="AS224" t="str">
        <f t="shared" si="7"/>
        <v>wci_corp</v>
      </c>
    </row>
    <row r="225" spans="2:45" x14ac:dyDescent="0.2">
      <c r="B225" t="s">
        <v>142</v>
      </c>
      <c r="C225" s="31">
        <v>43982</v>
      </c>
      <c r="D225" s="15">
        <v>-750</v>
      </c>
      <c r="E225" s="15">
        <v>0</v>
      </c>
      <c r="F225" s="53" t="s">
        <v>134</v>
      </c>
      <c r="G225" t="s">
        <v>276</v>
      </c>
      <c r="H225" s="41" t="s">
        <v>136</v>
      </c>
      <c r="I225" t="s">
        <v>277</v>
      </c>
      <c r="J225" t="s">
        <v>190</v>
      </c>
      <c r="K225" t="s">
        <v>139</v>
      </c>
      <c r="L225" s="17"/>
      <c r="M225" s="17"/>
      <c r="N225" s="17" t="s">
        <v>266</v>
      </c>
      <c r="O225" s="36"/>
      <c r="P225" s="17"/>
      <c r="Q225" s="17"/>
      <c r="U225" t="s">
        <v>278</v>
      </c>
      <c r="V225" t="s">
        <v>278</v>
      </c>
      <c r="X225" s="31">
        <v>43985</v>
      </c>
      <c r="Y225" s="31">
        <v>43985</v>
      </c>
      <c r="AA225" s="31"/>
      <c r="AB225" t="s">
        <v>9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1</v>
      </c>
      <c r="AI225">
        <v>70165</v>
      </c>
      <c r="AJ225">
        <v>2111</v>
      </c>
      <c r="AK225">
        <v>0</v>
      </c>
      <c r="AL225">
        <v>19</v>
      </c>
      <c r="AO225" s="41"/>
      <c r="AP225" s="41"/>
      <c r="AQ225" t="str">
        <f t="shared" si="6"/>
        <v/>
      </c>
      <c r="AS225" t="str">
        <f t="shared" si="7"/>
        <v>wci_corp</v>
      </c>
    </row>
    <row r="226" spans="2:45" x14ac:dyDescent="0.2">
      <c r="B226" t="s">
        <v>202</v>
      </c>
      <c r="C226" s="31">
        <v>43982</v>
      </c>
      <c r="D226" s="15">
        <v>640.32000000000005</v>
      </c>
      <c r="E226" s="15">
        <v>0</v>
      </c>
      <c r="F226" s="53" t="s">
        <v>134</v>
      </c>
      <c r="G226" t="s">
        <v>279</v>
      </c>
      <c r="H226" s="41" t="s">
        <v>136</v>
      </c>
      <c r="I226" t="s">
        <v>280</v>
      </c>
      <c r="J226" t="s">
        <v>190</v>
      </c>
      <c r="K226" t="s">
        <v>139</v>
      </c>
      <c r="L226" s="17"/>
      <c r="M226" s="17"/>
      <c r="N226" s="17" t="s">
        <v>261</v>
      </c>
      <c r="O226" s="36"/>
      <c r="P226" s="17"/>
      <c r="Q226" s="17"/>
      <c r="U226" t="s">
        <v>281</v>
      </c>
      <c r="V226" t="s">
        <v>281</v>
      </c>
      <c r="X226" s="31">
        <v>43985</v>
      </c>
      <c r="Y226" s="31">
        <v>43986</v>
      </c>
      <c r="AA226" s="31"/>
      <c r="AB226" t="s">
        <v>9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1</v>
      </c>
      <c r="AI226">
        <v>50020</v>
      </c>
      <c r="AJ226">
        <v>2111</v>
      </c>
      <c r="AK226">
        <v>0</v>
      </c>
      <c r="AL226">
        <v>19</v>
      </c>
      <c r="AO226" s="41"/>
      <c r="AP226" s="41"/>
      <c r="AQ226" t="str">
        <f t="shared" si="6"/>
        <v/>
      </c>
      <c r="AS226" t="str">
        <f t="shared" si="7"/>
        <v>wci_corp</v>
      </c>
    </row>
    <row r="227" spans="2:45" x14ac:dyDescent="0.2">
      <c r="B227" t="s">
        <v>156</v>
      </c>
      <c r="C227" s="31">
        <v>43982</v>
      </c>
      <c r="D227" s="15">
        <v>1653.24</v>
      </c>
      <c r="E227" s="15">
        <v>0</v>
      </c>
      <c r="F227" s="53" t="s">
        <v>134</v>
      </c>
      <c r="G227" t="s">
        <v>279</v>
      </c>
      <c r="H227" s="41" t="s">
        <v>136</v>
      </c>
      <c r="I227" t="s">
        <v>280</v>
      </c>
      <c r="J227" t="s">
        <v>190</v>
      </c>
      <c r="K227" t="s">
        <v>139</v>
      </c>
      <c r="L227" s="17"/>
      <c r="M227" s="17"/>
      <c r="N227" s="17" t="s">
        <v>263</v>
      </c>
      <c r="O227" s="36"/>
      <c r="P227" s="17"/>
      <c r="Q227" s="17"/>
      <c r="U227" t="s">
        <v>281</v>
      </c>
      <c r="V227" t="s">
        <v>281</v>
      </c>
      <c r="X227" s="31">
        <v>43985</v>
      </c>
      <c r="Y227" s="31">
        <v>43986</v>
      </c>
      <c r="AA227" s="31"/>
      <c r="AB227" t="s">
        <v>9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1</v>
      </c>
      <c r="AI227">
        <v>50036</v>
      </c>
      <c r="AJ227">
        <v>2111</v>
      </c>
      <c r="AK227">
        <v>0</v>
      </c>
      <c r="AL227">
        <v>19</v>
      </c>
      <c r="AO227" s="41"/>
      <c r="AP227" s="41"/>
      <c r="AQ227" t="str">
        <f t="shared" si="6"/>
        <v/>
      </c>
      <c r="AS227" t="str">
        <f t="shared" si="7"/>
        <v>wci_corp</v>
      </c>
    </row>
    <row r="228" spans="2:45" x14ac:dyDescent="0.2">
      <c r="B228" t="s">
        <v>156</v>
      </c>
      <c r="C228" s="31">
        <v>43982</v>
      </c>
      <c r="D228" s="15">
        <v>869.9</v>
      </c>
      <c r="E228" s="15">
        <v>0</v>
      </c>
      <c r="F228" s="53" t="s">
        <v>134</v>
      </c>
      <c r="G228" t="s">
        <v>279</v>
      </c>
      <c r="H228" s="41" t="s">
        <v>136</v>
      </c>
      <c r="I228" t="s">
        <v>280</v>
      </c>
      <c r="J228" t="s">
        <v>190</v>
      </c>
      <c r="K228" t="s">
        <v>139</v>
      </c>
      <c r="L228" s="17"/>
      <c r="M228" s="17"/>
      <c r="N228" s="17" t="s">
        <v>264</v>
      </c>
      <c r="O228" s="36"/>
      <c r="P228" s="17"/>
      <c r="Q228" s="17"/>
      <c r="U228" t="s">
        <v>281</v>
      </c>
      <c r="V228" t="s">
        <v>281</v>
      </c>
      <c r="X228" s="31">
        <v>43985</v>
      </c>
      <c r="Y228" s="31">
        <v>43986</v>
      </c>
      <c r="AA228" s="31"/>
      <c r="AB228" t="s">
        <v>9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1</v>
      </c>
      <c r="AI228">
        <v>50036</v>
      </c>
      <c r="AJ228">
        <v>2111</v>
      </c>
      <c r="AK228">
        <v>0</v>
      </c>
      <c r="AL228">
        <v>19</v>
      </c>
      <c r="AO228" s="41"/>
      <c r="AP228" s="41"/>
      <c r="AQ228" t="str">
        <f t="shared" si="6"/>
        <v/>
      </c>
      <c r="AS228" t="str">
        <f t="shared" si="7"/>
        <v>wci_corp</v>
      </c>
    </row>
    <row r="229" spans="2:45" x14ac:dyDescent="0.2">
      <c r="B229" t="s">
        <v>193</v>
      </c>
      <c r="C229" s="31">
        <v>43982</v>
      </c>
      <c r="D229" s="15">
        <v>9832.42</v>
      </c>
      <c r="E229" s="15">
        <v>0</v>
      </c>
      <c r="F229" s="53" t="s">
        <v>134</v>
      </c>
      <c r="G229" t="s">
        <v>279</v>
      </c>
      <c r="H229" s="41" t="s">
        <v>136</v>
      </c>
      <c r="I229" t="s">
        <v>280</v>
      </c>
      <c r="J229" t="s">
        <v>190</v>
      </c>
      <c r="K229" t="s">
        <v>139</v>
      </c>
      <c r="L229" s="17"/>
      <c r="M229" s="17"/>
      <c r="N229" s="17" t="s">
        <v>263</v>
      </c>
      <c r="O229" s="36"/>
      <c r="P229" s="17"/>
      <c r="Q229" s="17"/>
      <c r="U229" t="s">
        <v>281</v>
      </c>
      <c r="V229" t="s">
        <v>281</v>
      </c>
      <c r="X229" s="31">
        <v>43985</v>
      </c>
      <c r="Y229" s="31">
        <v>43986</v>
      </c>
      <c r="AA229" s="31"/>
      <c r="AB229" t="s">
        <v>9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</v>
      </c>
      <c r="AI229">
        <v>50036</v>
      </c>
      <c r="AJ229">
        <v>2111</v>
      </c>
      <c r="AK229">
        <v>100</v>
      </c>
      <c r="AL229">
        <v>19</v>
      </c>
      <c r="AO229" s="41"/>
      <c r="AP229" s="41"/>
      <c r="AQ229" t="str">
        <f t="shared" si="6"/>
        <v/>
      </c>
      <c r="AS229" t="str">
        <f t="shared" si="7"/>
        <v>wci_corp</v>
      </c>
    </row>
    <row r="230" spans="2:45" x14ac:dyDescent="0.2">
      <c r="B230" t="s">
        <v>193</v>
      </c>
      <c r="C230" s="31">
        <v>43982</v>
      </c>
      <c r="D230" s="15">
        <v>4846.46</v>
      </c>
      <c r="E230" s="15">
        <v>0</v>
      </c>
      <c r="F230" s="53" t="s">
        <v>134</v>
      </c>
      <c r="G230" t="s">
        <v>279</v>
      </c>
      <c r="H230" s="41" t="s">
        <v>136</v>
      </c>
      <c r="I230" t="s">
        <v>280</v>
      </c>
      <c r="J230" t="s">
        <v>190</v>
      </c>
      <c r="K230" t="s">
        <v>139</v>
      </c>
      <c r="L230" s="17"/>
      <c r="M230" s="17"/>
      <c r="N230" s="17" t="s">
        <v>264</v>
      </c>
      <c r="O230" s="36"/>
      <c r="P230" s="17"/>
      <c r="Q230" s="17"/>
      <c r="U230" t="s">
        <v>281</v>
      </c>
      <c r="V230" t="s">
        <v>281</v>
      </c>
      <c r="X230" s="31">
        <v>43985</v>
      </c>
      <c r="Y230" s="31">
        <v>43986</v>
      </c>
      <c r="AA230" s="31"/>
      <c r="AB230" t="s">
        <v>9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</v>
      </c>
      <c r="AI230">
        <v>50036</v>
      </c>
      <c r="AJ230">
        <v>2111</v>
      </c>
      <c r="AK230">
        <v>100</v>
      </c>
      <c r="AL230">
        <v>19</v>
      </c>
      <c r="AO230" s="41"/>
      <c r="AP230" s="41"/>
      <c r="AQ230" t="str">
        <f t="shared" si="6"/>
        <v/>
      </c>
      <c r="AS230" t="str">
        <f t="shared" si="7"/>
        <v>wci_corp</v>
      </c>
    </row>
    <row r="231" spans="2:45" x14ac:dyDescent="0.2">
      <c r="B231" t="s">
        <v>194</v>
      </c>
      <c r="C231" s="31">
        <v>43982</v>
      </c>
      <c r="D231" s="15">
        <v>7926.74</v>
      </c>
      <c r="E231" s="15">
        <v>0</v>
      </c>
      <c r="F231" s="53" t="s">
        <v>134</v>
      </c>
      <c r="G231" t="s">
        <v>279</v>
      </c>
      <c r="H231" s="41" t="s">
        <v>136</v>
      </c>
      <c r="I231" t="s">
        <v>280</v>
      </c>
      <c r="J231" t="s">
        <v>190</v>
      </c>
      <c r="K231" t="s">
        <v>139</v>
      </c>
      <c r="L231" s="17"/>
      <c r="M231" s="17"/>
      <c r="N231" s="17" t="s">
        <v>263</v>
      </c>
      <c r="O231" s="36"/>
      <c r="P231" s="17"/>
      <c r="Q231" s="17"/>
      <c r="U231" t="s">
        <v>281</v>
      </c>
      <c r="V231" t="s">
        <v>281</v>
      </c>
      <c r="X231" s="31">
        <v>43985</v>
      </c>
      <c r="Y231" s="31">
        <v>43986</v>
      </c>
      <c r="AA231" s="31"/>
      <c r="AB231" t="s">
        <v>9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1</v>
      </c>
      <c r="AI231">
        <v>50036</v>
      </c>
      <c r="AJ231">
        <v>2111</v>
      </c>
      <c r="AK231">
        <v>200</v>
      </c>
      <c r="AL231">
        <v>19</v>
      </c>
      <c r="AO231" s="41"/>
      <c r="AP231" s="41"/>
      <c r="AQ231" t="str">
        <f t="shared" si="6"/>
        <v/>
      </c>
      <c r="AS231" t="str">
        <f t="shared" si="7"/>
        <v>wci_corp</v>
      </c>
    </row>
    <row r="232" spans="2:45" x14ac:dyDescent="0.2">
      <c r="B232" t="s">
        <v>194</v>
      </c>
      <c r="C232" s="31">
        <v>43982</v>
      </c>
      <c r="D232" s="15">
        <v>3675.1</v>
      </c>
      <c r="E232" s="15">
        <v>0</v>
      </c>
      <c r="F232" s="53" t="s">
        <v>134</v>
      </c>
      <c r="G232" t="s">
        <v>279</v>
      </c>
      <c r="H232" s="41" t="s">
        <v>136</v>
      </c>
      <c r="I232" t="s">
        <v>280</v>
      </c>
      <c r="J232" t="s">
        <v>190</v>
      </c>
      <c r="K232" t="s">
        <v>139</v>
      </c>
      <c r="L232" s="17"/>
      <c r="M232" s="17"/>
      <c r="N232" s="17" t="s">
        <v>264</v>
      </c>
      <c r="O232" s="36"/>
      <c r="P232" s="17"/>
      <c r="Q232" s="17"/>
      <c r="U232" t="s">
        <v>281</v>
      </c>
      <c r="V232" t="s">
        <v>281</v>
      </c>
      <c r="X232" s="31">
        <v>43985</v>
      </c>
      <c r="Y232" s="31">
        <v>43986</v>
      </c>
      <c r="AA232" s="31"/>
      <c r="AB232" t="s">
        <v>9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</v>
      </c>
      <c r="AI232">
        <v>50036</v>
      </c>
      <c r="AJ232">
        <v>2111</v>
      </c>
      <c r="AK232">
        <v>200</v>
      </c>
      <c r="AL232">
        <v>19</v>
      </c>
      <c r="AO232" s="41"/>
      <c r="AP232" s="41"/>
      <c r="AQ232" t="str">
        <f t="shared" si="6"/>
        <v/>
      </c>
      <c r="AS232" t="str">
        <f t="shared" si="7"/>
        <v>wci_corp</v>
      </c>
    </row>
    <row r="233" spans="2:45" x14ac:dyDescent="0.2">
      <c r="B233" t="s">
        <v>195</v>
      </c>
      <c r="C233" s="31">
        <v>43982</v>
      </c>
      <c r="D233" s="15">
        <v>389.76</v>
      </c>
      <c r="E233" s="15">
        <v>0</v>
      </c>
      <c r="F233" s="53" t="s">
        <v>134</v>
      </c>
      <c r="G233" t="s">
        <v>279</v>
      </c>
      <c r="H233" s="41" t="s">
        <v>136</v>
      </c>
      <c r="I233" t="s">
        <v>280</v>
      </c>
      <c r="J233" t="s">
        <v>190</v>
      </c>
      <c r="K233" t="s">
        <v>139</v>
      </c>
      <c r="L233" s="17"/>
      <c r="M233" s="17"/>
      <c r="N233" s="17" t="s">
        <v>263</v>
      </c>
      <c r="O233" s="36"/>
      <c r="P233" s="17"/>
      <c r="Q233" s="17"/>
      <c r="U233" t="s">
        <v>281</v>
      </c>
      <c r="V233" t="s">
        <v>281</v>
      </c>
      <c r="X233" s="31">
        <v>43985</v>
      </c>
      <c r="Y233" s="31">
        <v>43986</v>
      </c>
      <c r="AA233" s="31"/>
      <c r="AB233" t="s">
        <v>9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1</v>
      </c>
      <c r="AI233">
        <v>50036</v>
      </c>
      <c r="AJ233">
        <v>2111</v>
      </c>
      <c r="AK233">
        <v>201</v>
      </c>
      <c r="AL233">
        <v>19</v>
      </c>
      <c r="AO233" s="41"/>
      <c r="AP233" s="41"/>
      <c r="AQ233" t="str">
        <f t="shared" si="6"/>
        <v/>
      </c>
      <c r="AS233" t="str">
        <f t="shared" si="7"/>
        <v>wci_corp</v>
      </c>
    </row>
    <row r="234" spans="2:45" x14ac:dyDescent="0.2">
      <c r="B234" t="s">
        <v>195</v>
      </c>
      <c r="C234" s="31">
        <v>43982</v>
      </c>
      <c r="D234" s="15">
        <v>206.36</v>
      </c>
      <c r="E234" s="15">
        <v>0</v>
      </c>
      <c r="F234" s="53" t="s">
        <v>134</v>
      </c>
      <c r="G234" t="s">
        <v>279</v>
      </c>
      <c r="H234" s="41" t="s">
        <v>136</v>
      </c>
      <c r="I234" t="s">
        <v>280</v>
      </c>
      <c r="J234" t="s">
        <v>190</v>
      </c>
      <c r="K234" t="s">
        <v>139</v>
      </c>
      <c r="L234" s="17"/>
      <c r="M234" s="17"/>
      <c r="N234" s="17" t="s">
        <v>264</v>
      </c>
      <c r="O234" s="36"/>
      <c r="P234" s="17"/>
      <c r="Q234" s="17"/>
      <c r="U234" t="s">
        <v>281</v>
      </c>
      <c r="V234" t="s">
        <v>281</v>
      </c>
      <c r="X234" s="31">
        <v>43985</v>
      </c>
      <c r="Y234" s="31">
        <v>43986</v>
      </c>
      <c r="AA234" s="31"/>
      <c r="AB234" t="s">
        <v>9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1</v>
      </c>
      <c r="AI234">
        <v>50036</v>
      </c>
      <c r="AJ234">
        <v>2111</v>
      </c>
      <c r="AK234">
        <v>201</v>
      </c>
      <c r="AL234">
        <v>19</v>
      </c>
      <c r="AO234" s="41"/>
      <c r="AP234" s="41"/>
      <c r="AQ234" t="str">
        <f t="shared" si="6"/>
        <v/>
      </c>
      <c r="AS234" t="str">
        <f t="shared" si="7"/>
        <v>wci_corp</v>
      </c>
    </row>
    <row r="235" spans="2:45" x14ac:dyDescent="0.2">
      <c r="B235" t="s">
        <v>196</v>
      </c>
      <c r="C235" s="31">
        <v>43982</v>
      </c>
      <c r="D235" s="15">
        <v>2188.2399999999998</v>
      </c>
      <c r="E235" s="15">
        <v>0</v>
      </c>
      <c r="F235" s="53" t="s">
        <v>134</v>
      </c>
      <c r="G235" t="s">
        <v>279</v>
      </c>
      <c r="H235" s="41" t="s">
        <v>136</v>
      </c>
      <c r="I235" t="s">
        <v>280</v>
      </c>
      <c r="J235" t="s">
        <v>190</v>
      </c>
      <c r="K235" t="s">
        <v>139</v>
      </c>
      <c r="L235" s="17"/>
      <c r="M235" s="17"/>
      <c r="N235" s="17" t="s">
        <v>263</v>
      </c>
      <c r="O235" s="36"/>
      <c r="P235" s="17"/>
      <c r="Q235" s="17"/>
      <c r="U235" t="s">
        <v>281</v>
      </c>
      <c r="V235" t="s">
        <v>281</v>
      </c>
      <c r="X235" s="31">
        <v>43985</v>
      </c>
      <c r="Y235" s="31">
        <v>43986</v>
      </c>
      <c r="AA235" s="31"/>
      <c r="AB235" t="s">
        <v>9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1</v>
      </c>
      <c r="AI235">
        <v>50036</v>
      </c>
      <c r="AJ235">
        <v>2111</v>
      </c>
      <c r="AK235">
        <v>210</v>
      </c>
      <c r="AL235">
        <v>19</v>
      </c>
      <c r="AO235" s="41"/>
      <c r="AP235" s="41"/>
      <c r="AQ235" t="str">
        <f t="shared" si="6"/>
        <v/>
      </c>
      <c r="AS235" t="str">
        <f t="shared" si="7"/>
        <v>wci_corp</v>
      </c>
    </row>
    <row r="236" spans="2:45" x14ac:dyDescent="0.2">
      <c r="B236" t="s">
        <v>196</v>
      </c>
      <c r="C236" s="31">
        <v>43982</v>
      </c>
      <c r="D236" s="15">
        <v>1201.68</v>
      </c>
      <c r="E236" s="15">
        <v>0</v>
      </c>
      <c r="F236" s="53" t="s">
        <v>134</v>
      </c>
      <c r="G236" t="s">
        <v>279</v>
      </c>
      <c r="H236" s="41" t="s">
        <v>136</v>
      </c>
      <c r="I236" t="s">
        <v>280</v>
      </c>
      <c r="J236" t="s">
        <v>190</v>
      </c>
      <c r="K236" t="s">
        <v>139</v>
      </c>
      <c r="L236" s="17"/>
      <c r="M236" s="17"/>
      <c r="N236" s="17" t="s">
        <v>264</v>
      </c>
      <c r="O236" s="36"/>
      <c r="P236" s="17"/>
      <c r="Q236" s="17"/>
      <c r="U236" t="s">
        <v>281</v>
      </c>
      <c r="V236" t="s">
        <v>281</v>
      </c>
      <c r="X236" s="31">
        <v>43985</v>
      </c>
      <c r="Y236" s="31">
        <v>43986</v>
      </c>
      <c r="AA236" s="31"/>
      <c r="AB236" t="s">
        <v>9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1</v>
      </c>
      <c r="AI236">
        <v>50036</v>
      </c>
      <c r="AJ236">
        <v>2111</v>
      </c>
      <c r="AK236">
        <v>210</v>
      </c>
      <c r="AL236">
        <v>19</v>
      </c>
      <c r="AO236" s="41"/>
      <c r="AP236" s="41"/>
      <c r="AQ236" t="str">
        <f t="shared" si="6"/>
        <v/>
      </c>
      <c r="AS236" t="str">
        <f t="shared" si="7"/>
        <v>wci_corp</v>
      </c>
    </row>
    <row r="237" spans="2:45" x14ac:dyDescent="0.2">
      <c r="B237" t="s">
        <v>197</v>
      </c>
      <c r="C237" s="31">
        <v>43982</v>
      </c>
      <c r="D237" s="15">
        <v>2705.58</v>
      </c>
      <c r="E237" s="15">
        <v>0</v>
      </c>
      <c r="F237" s="53" t="s">
        <v>134</v>
      </c>
      <c r="G237" t="s">
        <v>279</v>
      </c>
      <c r="H237" s="41" t="s">
        <v>136</v>
      </c>
      <c r="I237" t="s">
        <v>280</v>
      </c>
      <c r="J237" t="s">
        <v>190</v>
      </c>
      <c r="K237" t="s">
        <v>139</v>
      </c>
      <c r="L237" s="17"/>
      <c r="M237" s="17"/>
      <c r="N237" s="17" t="s">
        <v>263</v>
      </c>
      <c r="O237" s="36"/>
      <c r="P237" s="17"/>
      <c r="Q237" s="17"/>
      <c r="U237" t="s">
        <v>281</v>
      </c>
      <c r="V237" t="s">
        <v>281</v>
      </c>
      <c r="X237" s="31">
        <v>43985</v>
      </c>
      <c r="Y237" s="31">
        <v>43986</v>
      </c>
      <c r="AA237" s="31"/>
      <c r="AB237" t="s">
        <v>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1</v>
      </c>
      <c r="AI237">
        <v>50036</v>
      </c>
      <c r="AJ237">
        <v>2111</v>
      </c>
      <c r="AK237">
        <v>300</v>
      </c>
      <c r="AL237">
        <v>19</v>
      </c>
      <c r="AO237" s="41"/>
      <c r="AP237" s="41"/>
      <c r="AQ237" t="str">
        <f t="shared" si="6"/>
        <v/>
      </c>
      <c r="AS237" t="str">
        <f t="shared" si="7"/>
        <v>wci_corp</v>
      </c>
    </row>
    <row r="238" spans="2:45" x14ac:dyDescent="0.2">
      <c r="B238" t="s">
        <v>197</v>
      </c>
      <c r="C238" s="31">
        <v>43982</v>
      </c>
      <c r="D238" s="15">
        <v>1288.3599999999999</v>
      </c>
      <c r="E238" s="15">
        <v>0</v>
      </c>
      <c r="F238" s="53" t="s">
        <v>134</v>
      </c>
      <c r="G238" t="s">
        <v>279</v>
      </c>
      <c r="H238" s="41" t="s">
        <v>136</v>
      </c>
      <c r="I238" t="s">
        <v>280</v>
      </c>
      <c r="J238" t="s">
        <v>190</v>
      </c>
      <c r="K238" t="s">
        <v>139</v>
      </c>
      <c r="L238" s="17"/>
      <c r="M238" s="17"/>
      <c r="N238" s="17" t="s">
        <v>264</v>
      </c>
      <c r="O238" s="36"/>
      <c r="P238" s="17"/>
      <c r="Q238" s="17"/>
      <c r="U238" t="s">
        <v>281</v>
      </c>
      <c r="V238" t="s">
        <v>281</v>
      </c>
      <c r="X238" s="31">
        <v>43985</v>
      </c>
      <c r="Y238" s="31">
        <v>43986</v>
      </c>
      <c r="AA238" s="31"/>
      <c r="AB238" t="s">
        <v>9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1</v>
      </c>
      <c r="AI238">
        <v>50036</v>
      </c>
      <c r="AJ238">
        <v>2111</v>
      </c>
      <c r="AK238">
        <v>300</v>
      </c>
      <c r="AL238">
        <v>19</v>
      </c>
      <c r="AO238" s="41"/>
      <c r="AP238" s="41"/>
      <c r="AQ238" t="str">
        <f t="shared" si="6"/>
        <v/>
      </c>
      <c r="AS238" t="str">
        <f t="shared" si="7"/>
        <v>wci_corp</v>
      </c>
    </row>
    <row r="239" spans="2:45" x14ac:dyDescent="0.2">
      <c r="B239" t="s">
        <v>198</v>
      </c>
      <c r="C239" s="31">
        <v>43982</v>
      </c>
      <c r="D239" s="15">
        <v>1056.6199999999999</v>
      </c>
      <c r="E239" s="15">
        <v>0</v>
      </c>
      <c r="F239" s="53" t="s">
        <v>134</v>
      </c>
      <c r="G239" t="s">
        <v>279</v>
      </c>
      <c r="H239" s="41" t="s">
        <v>136</v>
      </c>
      <c r="I239" t="s">
        <v>280</v>
      </c>
      <c r="J239" t="s">
        <v>190</v>
      </c>
      <c r="K239" t="s">
        <v>139</v>
      </c>
      <c r="L239" s="17"/>
      <c r="M239" s="17"/>
      <c r="N239" s="17" t="s">
        <v>263</v>
      </c>
      <c r="O239" s="36"/>
      <c r="P239" s="17"/>
      <c r="Q239" s="17"/>
      <c r="U239" t="s">
        <v>281</v>
      </c>
      <c r="V239" t="s">
        <v>281</v>
      </c>
      <c r="X239" s="31">
        <v>43985</v>
      </c>
      <c r="Y239" s="31">
        <v>43986</v>
      </c>
      <c r="AA239" s="31"/>
      <c r="AB239" t="s">
        <v>9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1</v>
      </c>
      <c r="AI239">
        <v>50036</v>
      </c>
      <c r="AJ239">
        <v>2111</v>
      </c>
      <c r="AK239">
        <v>500</v>
      </c>
      <c r="AL239">
        <v>19</v>
      </c>
      <c r="AO239" s="41"/>
      <c r="AP239" s="41"/>
      <c r="AQ239" t="str">
        <f t="shared" si="6"/>
        <v/>
      </c>
      <c r="AS239" t="str">
        <f t="shared" si="7"/>
        <v>wci_corp</v>
      </c>
    </row>
    <row r="240" spans="2:45" x14ac:dyDescent="0.2">
      <c r="B240" t="s">
        <v>198</v>
      </c>
      <c r="C240" s="31">
        <v>43982</v>
      </c>
      <c r="D240" s="15">
        <v>535.17999999999995</v>
      </c>
      <c r="E240" s="15">
        <v>0</v>
      </c>
      <c r="F240" s="53" t="s">
        <v>134</v>
      </c>
      <c r="G240" t="s">
        <v>279</v>
      </c>
      <c r="H240" s="41" t="s">
        <v>136</v>
      </c>
      <c r="I240" t="s">
        <v>280</v>
      </c>
      <c r="J240" t="s">
        <v>190</v>
      </c>
      <c r="K240" t="s">
        <v>139</v>
      </c>
      <c r="L240" s="17"/>
      <c r="M240" s="17"/>
      <c r="N240" s="17" t="s">
        <v>264</v>
      </c>
      <c r="O240" s="36"/>
      <c r="P240" s="17"/>
      <c r="Q240" s="17"/>
      <c r="U240" t="s">
        <v>281</v>
      </c>
      <c r="V240" t="s">
        <v>281</v>
      </c>
      <c r="X240" s="31">
        <v>43985</v>
      </c>
      <c r="Y240" s="31">
        <v>43986</v>
      </c>
      <c r="AA240" s="31"/>
      <c r="AB240" t="s">
        <v>9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1</v>
      </c>
      <c r="AI240">
        <v>50036</v>
      </c>
      <c r="AJ240">
        <v>2111</v>
      </c>
      <c r="AK240">
        <v>500</v>
      </c>
      <c r="AL240">
        <v>19</v>
      </c>
      <c r="AO240" s="41"/>
      <c r="AP240" s="41"/>
      <c r="AQ240" t="str">
        <f t="shared" si="6"/>
        <v/>
      </c>
      <c r="AS240" t="str">
        <f t="shared" si="7"/>
        <v>wci_corp</v>
      </c>
    </row>
    <row r="241" spans="2:45" x14ac:dyDescent="0.2">
      <c r="B241" t="s">
        <v>162</v>
      </c>
      <c r="C241" s="31">
        <v>43982</v>
      </c>
      <c r="D241" s="15">
        <v>4309.26</v>
      </c>
      <c r="E241" s="15">
        <v>0</v>
      </c>
      <c r="F241" s="53" t="s">
        <v>134</v>
      </c>
      <c r="G241" t="s">
        <v>279</v>
      </c>
      <c r="H241" s="41" t="s">
        <v>136</v>
      </c>
      <c r="I241" t="s">
        <v>280</v>
      </c>
      <c r="J241" t="s">
        <v>190</v>
      </c>
      <c r="K241" t="s">
        <v>139</v>
      </c>
      <c r="L241" s="17"/>
      <c r="M241" s="17"/>
      <c r="N241" s="17" t="s">
        <v>263</v>
      </c>
      <c r="O241" s="36"/>
      <c r="P241" s="17"/>
      <c r="Q241" s="17"/>
      <c r="U241" t="s">
        <v>281</v>
      </c>
      <c r="V241" t="s">
        <v>281</v>
      </c>
      <c r="X241" s="31">
        <v>43985</v>
      </c>
      <c r="Y241" s="31">
        <v>43986</v>
      </c>
      <c r="AA241" s="31"/>
      <c r="AB241" t="s">
        <v>9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1</v>
      </c>
      <c r="AI241">
        <v>52036</v>
      </c>
      <c r="AJ241">
        <v>2111</v>
      </c>
      <c r="AK241">
        <v>0</v>
      </c>
      <c r="AL241">
        <v>19</v>
      </c>
      <c r="AO241" s="41"/>
      <c r="AP241" s="41"/>
      <c r="AQ241" t="str">
        <f t="shared" si="6"/>
        <v/>
      </c>
      <c r="AS241" t="str">
        <f t="shared" si="7"/>
        <v>wci_corp</v>
      </c>
    </row>
    <row r="242" spans="2:45" x14ac:dyDescent="0.2">
      <c r="B242" t="s">
        <v>162</v>
      </c>
      <c r="C242" s="31">
        <v>43982</v>
      </c>
      <c r="D242" s="15">
        <v>2216.9</v>
      </c>
      <c r="E242" s="15">
        <v>0</v>
      </c>
      <c r="F242" s="53" t="s">
        <v>134</v>
      </c>
      <c r="G242" t="s">
        <v>279</v>
      </c>
      <c r="H242" s="41" t="s">
        <v>136</v>
      </c>
      <c r="I242" t="s">
        <v>280</v>
      </c>
      <c r="J242" t="s">
        <v>190</v>
      </c>
      <c r="K242" t="s">
        <v>139</v>
      </c>
      <c r="L242" s="17"/>
      <c r="M242" s="17"/>
      <c r="N242" s="17" t="s">
        <v>264</v>
      </c>
      <c r="O242" s="36"/>
      <c r="P242" s="17"/>
      <c r="Q242" s="17"/>
      <c r="U242" t="s">
        <v>281</v>
      </c>
      <c r="V242" t="s">
        <v>281</v>
      </c>
      <c r="X242" s="31">
        <v>43985</v>
      </c>
      <c r="Y242" s="31">
        <v>43986</v>
      </c>
      <c r="AA242" s="31"/>
      <c r="AB242" t="s">
        <v>9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1</v>
      </c>
      <c r="AI242">
        <v>52036</v>
      </c>
      <c r="AJ242">
        <v>2111</v>
      </c>
      <c r="AK242">
        <v>0</v>
      </c>
      <c r="AL242">
        <v>19</v>
      </c>
      <c r="AO242" s="41"/>
      <c r="AP242" s="41"/>
      <c r="AQ242" t="str">
        <f t="shared" si="6"/>
        <v/>
      </c>
      <c r="AS242" t="str">
        <f t="shared" si="7"/>
        <v>wci_corp</v>
      </c>
    </row>
    <row r="243" spans="2:45" x14ac:dyDescent="0.2">
      <c r="B243" t="s">
        <v>164</v>
      </c>
      <c r="C243" s="31">
        <v>43982</v>
      </c>
      <c r="D243" s="15">
        <v>1070.3399999999999</v>
      </c>
      <c r="E243" s="15">
        <v>0</v>
      </c>
      <c r="F243" s="53" t="s">
        <v>134</v>
      </c>
      <c r="G243" t="s">
        <v>279</v>
      </c>
      <c r="H243" s="41" t="s">
        <v>136</v>
      </c>
      <c r="I243" t="s">
        <v>280</v>
      </c>
      <c r="J243" t="s">
        <v>190</v>
      </c>
      <c r="K243" t="s">
        <v>139</v>
      </c>
      <c r="L243" s="17"/>
      <c r="M243" s="17"/>
      <c r="N243" s="17" t="s">
        <v>263</v>
      </c>
      <c r="O243" s="36"/>
      <c r="P243" s="17"/>
      <c r="Q243" s="17"/>
      <c r="U243" t="s">
        <v>281</v>
      </c>
      <c r="V243" t="s">
        <v>281</v>
      </c>
      <c r="X243" s="31">
        <v>43985</v>
      </c>
      <c r="Y243" s="31">
        <v>43986</v>
      </c>
      <c r="AA243" s="31"/>
      <c r="AB243" t="s">
        <v>9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1</v>
      </c>
      <c r="AI243">
        <v>55036</v>
      </c>
      <c r="AJ243">
        <v>2111</v>
      </c>
      <c r="AK243">
        <v>0</v>
      </c>
      <c r="AL243">
        <v>19</v>
      </c>
      <c r="AO243" s="41"/>
      <c r="AP243" s="41"/>
      <c r="AQ243" t="str">
        <f t="shared" si="6"/>
        <v/>
      </c>
      <c r="AS243" t="str">
        <f t="shared" si="7"/>
        <v>wci_corp</v>
      </c>
    </row>
    <row r="244" spans="2:45" x14ac:dyDescent="0.2">
      <c r="B244" t="s">
        <v>164</v>
      </c>
      <c r="C244" s="31">
        <v>43982</v>
      </c>
      <c r="D244" s="15">
        <v>571.44000000000005</v>
      </c>
      <c r="E244" s="15">
        <v>0</v>
      </c>
      <c r="F244" s="53" t="s">
        <v>134</v>
      </c>
      <c r="G244" t="s">
        <v>279</v>
      </c>
      <c r="H244" s="41" t="s">
        <v>136</v>
      </c>
      <c r="I244" t="s">
        <v>280</v>
      </c>
      <c r="J244" t="s">
        <v>190</v>
      </c>
      <c r="K244" t="s">
        <v>139</v>
      </c>
      <c r="L244" s="17"/>
      <c r="M244" s="17"/>
      <c r="N244" s="17" t="s">
        <v>264</v>
      </c>
      <c r="O244" s="36"/>
      <c r="P244" s="17"/>
      <c r="Q244" s="17"/>
      <c r="U244" t="s">
        <v>281</v>
      </c>
      <c r="V244" t="s">
        <v>281</v>
      </c>
      <c r="X244" s="31">
        <v>43985</v>
      </c>
      <c r="Y244" s="31">
        <v>43986</v>
      </c>
      <c r="AA244" s="31"/>
      <c r="AB244" t="s">
        <v>9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1</v>
      </c>
      <c r="AI244">
        <v>55036</v>
      </c>
      <c r="AJ244">
        <v>2111</v>
      </c>
      <c r="AK244">
        <v>0</v>
      </c>
      <c r="AL244">
        <v>19</v>
      </c>
      <c r="AO244" s="41"/>
      <c r="AP244" s="41"/>
      <c r="AQ244" t="str">
        <f t="shared" si="6"/>
        <v/>
      </c>
      <c r="AS244" t="str">
        <f t="shared" si="7"/>
        <v>wci_corp</v>
      </c>
    </row>
    <row r="245" spans="2:45" x14ac:dyDescent="0.2">
      <c r="B245" t="s">
        <v>166</v>
      </c>
      <c r="C245" s="31">
        <v>43982</v>
      </c>
      <c r="D245" s="15">
        <v>500</v>
      </c>
      <c r="E245" s="15">
        <v>0</v>
      </c>
      <c r="F245" s="53" t="s">
        <v>134</v>
      </c>
      <c r="G245" t="s">
        <v>279</v>
      </c>
      <c r="H245" s="41" t="s">
        <v>136</v>
      </c>
      <c r="I245" t="s">
        <v>280</v>
      </c>
      <c r="J245" t="s">
        <v>190</v>
      </c>
      <c r="K245" t="s">
        <v>139</v>
      </c>
      <c r="L245" s="17"/>
      <c r="M245" s="17"/>
      <c r="N245" s="17" t="s">
        <v>263</v>
      </c>
      <c r="O245" s="36"/>
      <c r="P245" s="17"/>
      <c r="Q245" s="17"/>
      <c r="U245" t="s">
        <v>281</v>
      </c>
      <c r="V245" t="s">
        <v>281</v>
      </c>
      <c r="X245" s="31">
        <v>43985</v>
      </c>
      <c r="Y245" s="31">
        <v>43986</v>
      </c>
      <c r="AA245" s="31"/>
      <c r="AB245" t="s">
        <v>9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1</v>
      </c>
      <c r="AI245">
        <v>56036</v>
      </c>
      <c r="AJ245">
        <v>2111</v>
      </c>
      <c r="AK245">
        <v>0</v>
      </c>
      <c r="AL245">
        <v>19</v>
      </c>
      <c r="AO245" s="41"/>
      <c r="AP245" s="41"/>
      <c r="AQ245" t="str">
        <f t="shared" si="6"/>
        <v/>
      </c>
      <c r="AS245" t="str">
        <f t="shared" si="7"/>
        <v>wci_corp</v>
      </c>
    </row>
    <row r="246" spans="2:45" x14ac:dyDescent="0.2">
      <c r="B246" t="s">
        <v>166</v>
      </c>
      <c r="C246" s="31">
        <v>43982</v>
      </c>
      <c r="D246" s="15">
        <v>250</v>
      </c>
      <c r="E246" s="15">
        <v>0</v>
      </c>
      <c r="F246" s="53" t="s">
        <v>134</v>
      </c>
      <c r="G246" t="s">
        <v>279</v>
      </c>
      <c r="H246" s="41" t="s">
        <v>136</v>
      </c>
      <c r="I246" t="s">
        <v>280</v>
      </c>
      <c r="J246" t="s">
        <v>190</v>
      </c>
      <c r="K246" t="s">
        <v>139</v>
      </c>
      <c r="L246" s="17"/>
      <c r="M246" s="17"/>
      <c r="N246" s="17" t="s">
        <v>264</v>
      </c>
      <c r="O246" s="36"/>
      <c r="P246" s="17"/>
      <c r="Q246" s="17"/>
      <c r="U246" t="s">
        <v>281</v>
      </c>
      <c r="V246" t="s">
        <v>281</v>
      </c>
      <c r="X246" s="31">
        <v>43985</v>
      </c>
      <c r="Y246" s="31">
        <v>43986</v>
      </c>
      <c r="AA246" s="31"/>
      <c r="AB246" t="s">
        <v>9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1</v>
      </c>
      <c r="AI246">
        <v>56036</v>
      </c>
      <c r="AJ246">
        <v>2111</v>
      </c>
      <c r="AK246">
        <v>0</v>
      </c>
      <c r="AL246">
        <v>19</v>
      </c>
      <c r="AO246" s="41"/>
      <c r="AP246" s="41"/>
      <c r="AQ246" t="str">
        <f t="shared" si="6"/>
        <v/>
      </c>
      <c r="AS246" t="str">
        <f t="shared" si="7"/>
        <v>wci_corp</v>
      </c>
    </row>
    <row r="247" spans="2:45" x14ac:dyDescent="0.2">
      <c r="B247" t="s">
        <v>201</v>
      </c>
      <c r="C247" s="31">
        <v>43982</v>
      </c>
      <c r="D247" s="15">
        <v>750</v>
      </c>
      <c r="E247" s="15">
        <v>0</v>
      </c>
      <c r="F247" s="53" t="s">
        <v>134</v>
      </c>
      <c r="G247" t="s">
        <v>279</v>
      </c>
      <c r="H247" s="41" t="s">
        <v>136</v>
      </c>
      <c r="I247" t="s">
        <v>280</v>
      </c>
      <c r="J247" t="s">
        <v>190</v>
      </c>
      <c r="K247" t="s">
        <v>139</v>
      </c>
      <c r="L247" s="17"/>
      <c r="M247" s="17"/>
      <c r="N247" s="17" t="s">
        <v>263</v>
      </c>
      <c r="O247" s="36"/>
      <c r="P247" s="17"/>
      <c r="Q247" s="17"/>
      <c r="U247" t="s">
        <v>281</v>
      </c>
      <c r="V247" t="s">
        <v>281</v>
      </c>
      <c r="X247" s="31">
        <v>43985</v>
      </c>
      <c r="Y247" s="31">
        <v>43986</v>
      </c>
      <c r="AA247" s="31"/>
      <c r="AB247" t="s">
        <v>9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1</v>
      </c>
      <c r="AI247">
        <v>56036</v>
      </c>
      <c r="AJ247">
        <v>2111</v>
      </c>
      <c r="AK247">
        <v>700</v>
      </c>
      <c r="AL247">
        <v>19</v>
      </c>
      <c r="AO247" s="41"/>
      <c r="AP247" s="41"/>
      <c r="AQ247" t="str">
        <f t="shared" si="6"/>
        <v/>
      </c>
      <c r="AS247" t="str">
        <f t="shared" si="7"/>
        <v>wci_corp</v>
      </c>
    </row>
    <row r="248" spans="2:45" x14ac:dyDescent="0.2">
      <c r="B248" t="s">
        <v>201</v>
      </c>
      <c r="C248" s="31">
        <v>43982</v>
      </c>
      <c r="D248" s="15">
        <v>375</v>
      </c>
      <c r="E248" s="15">
        <v>0</v>
      </c>
      <c r="F248" s="53" t="s">
        <v>134</v>
      </c>
      <c r="G248" t="s">
        <v>279</v>
      </c>
      <c r="H248" s="41" t="s">
        <v>136</v>
      </c>
      <c r="I248" t="s">
        <v>280</v>
      </c>
      <c r="J248" t="s">
        <v>190</v>
      </c>
      <c r="K248" t="s">
        <v>139</v>
      </c>
      <c r="L248" s="17"/>
      <c r="M248" s="17"/>
      <c r="N248" s="17" t="s">
        <v>264</v>
      </c>
      <c r="O248" s="36"/>
      <c r="P248" s="17"/>
      <c r="Q248" s="17"/>
      <c r="U248" t="s">
        <v>281</v>
      </c>
      <c r="V248" t="s">
        <v>281</v>
      </c>
      <c r="X248" s="31">
        <v>43985</v>
      </c>
      <c r="Y248" s="31">
        <v>43986</v>
      </c>
      <c r="AA248" s="31"/>
      <c r="AB248" t="s">
        <v>9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1</v>
      </c>
      <c r="AI248">
        <v>56036</v>
      </c>
      <c r="AJ248">
        <v>2111</v>
      </c>
      <c r="AK248">
        <v>700</v>
      </c>
      <c r="AL248">
        <v>19</v>
      </c>
      <c r="AO248" s="41"/>
      <c r="AP248" s="41"/>
      <c r="AQ248" t="str">
        <f t="shared" si="6"/>
        <v/>
      </c>
      <c r="AS248" t="str">
        <f t="shared" si="7"/>
        <v>wci_corp</v>
      </c>
    </row>
    <row r="249" spans="2:45" x14ac:dyDescent="0.2">
      <c r="B249" t="s">
        <v>168</v>
      </c>
      <c r="C249" s="31">
        <v>43982</v>
      </c>
      <c r="D249" s="15">
        <v>3909.06</v>
      </c>
      <c r="E249" s="15">
        <v>0</v>
      </c>
      <c r="F249" s="53" t="s">
        <v>134</v>
      </c>
      <c r="G249" t="s">
        <v>279</v>
      </c>
      <c r="H249" s="41" t="s">
        <v>136</v>
      </c>
      <c r="I249" t="s">
        <v>280</v>
      </c>
      <c r="J249" t="s">
        <v>190</v>
      </c>
      <c r="K249" t="s">
        <v>139</v>
      </c>
      <c r="L249" s="17"/>
      <c r="M249" s="17"/>
      <c r="N249" s="17" t="s">
        <v>263</v>
      </c>
      <c r="O249" s="36"/>
      <c r="P249" s="17"/>
      <c r="Q249" s="17"/>
      <c r="U249" t="s">
        <v>281</v>
      </c>
      <c r="V249" t="s">
        <v>281</v>
      </c>
      <c r="X249" s="31">
        <v>43985</v>
      </c>
      <c r="Y249" s="31">
        <v>43986</v>
      </c>
      <c r="AA249" s="31"/>
      <c r="AB249" t="s">
        <v>9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1</v>
      </c>
      <c r="AI249">
        <v>70036</v>
      </c>
      <c r="AJ249">
        <v>2111</v>
      </c>
      <c r="AK249">
        <v>0</v>
      </c>
      <c r="AL249">
        <v>19</v>
      </c>
      <c r="AO249" s="41"/>
      <c r="AP249" s="41"/>
      <c r="AQ249" t="str">
        <f t="shared" si="6"/>
        <v/>
      </c>
      <c r="AS249" t="str">
        <f t="shared" si="7"/>
        <v>wci_corp</v>
      </c>
    </row>
    <row r="250" spans="2:45" x14ac:dyDescent="0.2">
      <c r="B250" t="s">
        <v>168</v>
      </c>
      <c r="C250" s="31">
        <v>43982</v>
      </c>
      <c r="D250" s="15">
        <v>1935.02</v>
      </c>
      <c r="E250" s="15">
        <v>0</v>
      </c>
      <c r="F250" s="53" t="s">
        <v>134</v>
      </c>
      <c r="G250" t="s">
        <v>279</v>
      </c>
      <c r="H250" s="41" t="s">
        <v>136</v>
      </c>
      <c r="I250" t="s">
        <v>280</v>
      </c>
      <c r="J250" t="s">
        <v>190</v>
      </c>
      <c r="K250" t="s">
        <v>139</v>
      </c>
      <c r="L250" s="17"/>
      <c r="M250" s="17"/>
      <c r="N250" s="17" t="s">
        <v>264</v>
      </c>
      <c r="O250" s="36"/>
      <c r="P250" s="17"/>
      <c r="Q250" s="17"/>
      <c r="U250" t="s">
        <v>281</v>
      </c>
      <c r="V250" t="s">
        <v>281</v>
      </c>
      <c r="X250" s="31">
        <v>43985</v>
      </c>
      <c r="Y250" s="31">
        <v>43986</v>
      </c>
      <c r="AA250" s="31"/>
      <c r="AB250" t="s">
        <v>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1</v>
      </c>
      <c r="AI250">
        <v>70036</v>
      </c>
      <c r="AJ250">
        <v>2111</v>
      </c>
      <c r="AK250">
        <v>0</v>
      </c>
      <c r="AL250">
        <v>19</v>
      </c>
      <c r="AO250" s="41"/>
      <c r="AP250" s="41"/>
      <c r="AQ250" t="str">
        <f t="shared" si="6"/>
        <v/>
      </c>
      <c r="AS250" t="str">
        <f t="shared" si="7"/>
        <v>wci_corp</v>
      </c>
    </row>
    <row r="251" spans="2:45" x14ac:dyDescent="0.2">
      <c r="B251" t="s">
        <v>168</v>
      </c>
      <c r="C251" s="31">
        <v>43982</v>
      </c>
      <c r="D251" s="15">
        <v>250</v>
      </c>
      <c r="E251" s="15">
        <v>0</v>
      </c>
      <c r="F251" s="53" t="s">
        <v>134</v>
      </c>
      <c r="G251" t="s">
        <v>279</v>
      </c>
      <c r="H251" s="41" t="s">
        <v>136</v>
      </c>
      <c r="I251" t="s">
        <v>280</v>
      </c>
      <c r="J251" t="s">
        <v>190</v>
      </c>
      <c r="K251" t="s">
        <v>139</v>
      </c>
      <c r="L251" s="17"/>
      <c r="M251" s="17"/>
      <c r="N251" s="17" t="s">
        <v>263</v>
      </c>
      <c r="O251" s="36"/>
      <c r="P251" s="17"/>
      <c r="Q251" s="17"/>
      <c r="U251" t="s">
        <v>281</v>
      </c>
      <c r="V251" t="s">
        <v>281</v>
      </c>
      <c r="X251" s="31">
        <v>43985</v>
      </c>
      <c r="Y251" s="31">
        <v>43986</v>
      </c>
      <c r="AA251" s="31"/>
      <c r="AB251" t="s">
        <v>9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1</v>
      </c>
      <c r="AI251">
        <v>70036</v>
      </c>
      <c r="AJ251">
        <v>2111</v>
      </c>
      <c r="AK251">
        <v>0</v>
      </c>
      <c r="AL251">
        <v>19</v>
      </c>
      <c r="AO251" s="41"/>
      <c r="AP251" s="41"/>
      <c r="AQ251" t="str">
        <f t="shared" si="6"/>
        <v/>
      </c>
      <c r="AS251" t="str">
        <f t="shared" si="7"/>
        <v>wci_corp</v>
      </c>
    </row>
    <row r="252" spans="2:45" x14ac:dyDescent="0.2">
      <c r="B252" t="s">
        <v>168</v>
      </c>
      <c r="C252" s="31">
        <v>43982</v>
      </c>
      <c r="D252" s="15">
        <v>125</v>
      </c>
      <c r="E252" s="15">
        <v>0</v>
      </c>
      <c r="F252" s="53" t="s">
        <v>134</v>
      </c>
      <c r="G252" t="s">
        <v>279</v>
      </c>
      <c r="H252" s="41" t="s">
        <v>136</v>
      </c>
      <c r="I252" t="s">
        <v>280</v>
      </c>
      <c r="J252" t="s">
        <v>190</v>
      </c>
      <c r="K252" t="s">
        <v>139</v>
      </c>
      <c r="L252" s="17"/>
      <c r="M252" s="17"/>
      <c r="N252" s="17" t="s">
        <v>264</v>
      </c>
      <c r="O252" s="36"/>
      <c r="P252" s="17"/>
      <c r="Q252" s="17"/>
      <c r="U252" t="s">
        <v>281</v>
      </c>
      <c r="V252" t="s">
        <v>281</v>
      </c>
      <c r="X252" s="31">
        <v>43985</v>
      </c>
      <c r="Y252" s="31">
        <v>43986</v>
      </c>
      <c r="AA252" s="31"/>
      <c r="AB252" t="s">
        <v>9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1</v>
      </c>
      <c r="AI252">
        <v>70036</v>
      </c>
      <c r="AJ252">
        <v>2111</v>
      </c>
      <c r="AK252">
        <v>0</v>
      </c>
      <c r="AL252">
        <v>19</v>
      </c>
      <c r="AO252" s="41"/>
      <c r="AP252" s="41"/>
      <c r="AQ252" t="str">
        <f t="shared" si="6"/>
        <v/>
      </c>
      <c r="AS252" t="str">
        <f t="shared" si="7"/>
        <v>wci_corp</v>
      </c>
    </row>
    <row r="253" spans="2:45" x14ac:dyDescent="0.2">
      <c r="B253" t="s">
        <v>142</v>
      </c>
      <c r="C253" s="31">
        <v>43982</v>
      </c>
      <c r="D253" s="15">
        <v>750</v>
      </c>
      <c r="E253" s="15">
        <v>0</v>
      </c>
      <c r="F253" s="53" t="s">
        <v>134</v>
      </c>
      <c r="G253" t="s">
        <v>279</v>
      </c>
      <c r="H253" s="41" t="s">
        <v>136</v>
      </c>
      <c r="I253" t="s">
        <v>280</v>
      </c>
      <c r="J253" t="s">
        <v>190</v>
      </c>
      <c r="K253" t="s">
        <v>139</v>
      </c>
      <c r="L253" s="17"/>
      <c r="M253" s="17"/>
      <c r="N253" s="17" t="s">
        <v>265</v>
      </c>
      <c r="O253" s="36"/>
      <c r="P253" s="17"/>
      <c r="Q253" s="17"/>
      <c r="U253" t="s">
        <v>281</v>
      </c>
      <c r="V253" t="s">
        <v>281</v>
      </c>
      <c r="X253" s="31">
        <v>43985</v>
      </c>
      <c r="Y253" s="31">
        <v>43986</v>
      </c>
      <c r="AA253" s="31"/>
      <c r="AB253" t="s">
        <v>9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1</v>
      </c>
      <c r="AI253">
        <v>70165</v>
      </c>
      <c r="AJ253">
        <v>2111</v>
      </c>
      <c r="AK253">
        <v>0</v>
      </c>
      <c r="AL253">
        <v>19</v>
      </c>
      <c r="AO253" s="41"/>
      <c r="AP253" s="41"/>
      <c r="AQ253" t="str">
        <f t="shared" si="6"/>
        <v/>
      </c>
      <c r="AS253" t="str">
        <f t="shared" si="7"/>
        <v>wci_corp</v>
      </c>
    </row>
    <row r="254" spans="2:45" x14ac:dyDescent="0.2">
      <c r="B254" t="s">
        <v>142</v>
      </c>
      <c r="C254" s="31">
        <v>43982</v>
      </c>
      <c r="D254" s="15">
        <v>25</v>
      </c>
      <c r="E254" s="15">
        <v>0</v>
      </c>
      <c r="F254" s="53" t="s">
        <v>134</v>
      </c>
      <c r="G254" t="s">
        <v>279</v>
      </c>
      <c r="H254" s="41" t="s">
        <v>136</v>
      </c>
      <c r="I254" t="s">
        <v>280</v>
      </c>
      <c r="J254" t="s">
        <v>190</v>
      </c>
      <c r="K254" t="s">
        <v>139</v>
      </c>
      <c r="L254" s="17"/>
      <c r="M254" s="17"/>
      <c r="N254" s="17" t="s">
        <v>265</v>
      </c>
      <c r="O254" s="36"/>
      <c r="P254" s="17"/>
      <c r="Q254" s="17"/>
      <c r="U254" t="s">
        <v>281</v>
      </c>
      <c r="V254" t="s">
        <v>281</v>
      </c>
      <c r="X254" s="31">
        <v>43985</v>
      </c>
      <c r="Y254" s="31">
        <v>43986</v>
      </c>
      <c r="AA254" s="31"/>
      <c r="AB254" t="s">
        <v>9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1</v>
      </c>
      <c r="AI254">
        <v>70165</v>
      </c>
      <c r="AJ254">
        <v>2111</v>
      </c>
      <c r="AK254">
        <v>0</v>
      </c>
      <c r="AL254">
        <v>19</v>
      </c>
      <c r="AO254" s="41"/>
      <c r="AP254" s="41"/>
      <c r="AQ254" t="str">
        <f t="shared" si="6"/>
        <v/>
      </c>
      <c r="AS254" t="str">
        <f t="shared" si="7"/>
        <v>wci_corp</v>
      </c>
    </row>
    <row r="255" spans="2:45" x14ac:dyDescent="0.2">
      <c r="B255" t="s">
        <v>142</v>
      </c>
      <c r="C255" s="31">
        <v>43982</v>
      </c>
      <c r="D255" s="15">
        <v>25</v>
      </c>
      <c r="E255" s="15">
        <v>0</v>
      </c>
      <c r="F255" s="53" t="s">
        <v>134</v>
      </c>
      <c r="G255" t="s">
        <v>279</v>
      </c>
      <c r="H255" s="41" t="s">
        <v>136</v>
      </c>
      <c r="I255" t="s">
        <v>280</v>
      </c>
      <c r="J255" t="s">
        <v>190</v>
      </c>
      <c r="K255" t="s">
        <v>139</v>
      </c>
      <c r="L255" s="17"/>
      <c r="M255" s="17"/>
      <c r="N255" s="17" t="s">
        <v>265</v>
      </c>
      <c r="O255" s="36"/>
      <c r="P255" s="17"/>
      <c r="Q255" s="17"/>
      <c r="U255" t="s">
        <v>281</v>
      </c>
      <c r="V255" t="s">
        <v>281</v>
      </c>
      <c r="X255" s="31">
        <v>43985</v>
      </c>
      <c r="Y255" s="31">
        <v>43986</v>
      </c>
      <c r="AA255" s="31"/>
      <c r="AB255" t="s">
        <v>9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1</v>
      </c>
      <c r="AI255">
        <v>70165</v>
      </c>
      <c r="AJ255">
        <v>2111</v>
      </c>
      <c r="AK255">
        <v>0</v>
      </c>
      <c r="AL255">
        <v>19</v>
      </c>
      <c r="AO255" s="41"/>
      <c r="AP255" s="41"/>
      <c r="AQ255" t="str">
        <f t="shared" si="6"/>
        <v/>
      </c>
      <c r="AS255" t="str">
        <f t="shared" si="7"/>
        <v>wci_corp</v>
      </c>
    </row>
    <row r="256" spans="2:45" x14ac:dyDescent="0.2">
      <c r="B256" t="s">
        <v>142</v>
      </c>
      <c r="C256" s="31">
        <v>43982</v>
      </c>
      <c r="D256" s="15">
        <v>750</v>
      </c>
      <c r="E256" s="15">
        <v>0</v>
      </c>
      <c r="F256" s="53" t="s">
        <v>134</v>
      </c>
      <c r="G256" t="s">
        <v>279</v>
      </c>
      <c r="H256" s="41" t="s">
        <v>136</v>
      </c>
      <c r="I256" t="s">
        <v>280</v>
      </c>
      <c r="J256" t="s">
        <v>190</v>
      </c>
      <c r="K256" t="s">
        <v>139</v>
      </c>
      <c r="L256" s="17"/>
      <c r="M256" s="17"/>
      <c r="N256" s="17" t="s">
        <v>266</v>
      </c>
      <c r="O256" s="36"/>
      <c r="P256" s="17"/>
      <c r="Q256" s="17"/>
      <c r="U256" t="s">
        <v>281</v>
      </c>
      <c r="V256" t="s">
        <v>281</v>
      </c>
      <c r="X256" s="31">
        <v>43985</v>
      </c>
      <c r="Y256" s="31">
        <v>43986</v>
      </c>
      <c r="AA256" s="31"/>
      <c r="AB256" t="s">
        <v>9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1</v>
      </c>
      <c r="AI256">
        <v>70165</v>
      </c>
      <c r="AJ256">
        <v>2111</v>
      </c>
      <c r="AK256">
        <v>0</v>
      </c>
      <c r="AL256">
        <v>19</v>
      </c>
      <c r="AO256" s="41"/>
      <c r="AP256" s="41"/>
      <c r="AQ256" t="str">
        <f t="shared" si="6"/>
        <v/>
      </c>
      <c r="AS256" t="str">
        <f t="shared" si="7"/>
        <v>wci_corp</v>
      </c>
    </row>
    <row r="257" spans="2:45" x14ac:dyDescent="0.2">
      <c r="B257" t="s">
        <v>142</v>
      </c>
      <c r="C257" s="31">
        <v>43982</v>
      </c>
      <c r="D257" s="15">
        <v>25</v>
      </c>
      <c r="E257" s="15">
        <v>0</v>
      </c>
      <c r="F257" s="53" t="s">
        <v>134</v>
      </c>
      <c r="G257" t="s">
        <v>279</v>
      </c>
      <c r="H257" s="41" t="s">
        <v>136</v>
      </c>
      <c r="I257" t="s">
        <v>280</v>
      </c>
      <c r="J257" t="s">
        <v>190</v>
      </c>
      <c r="K257" t="s">
        <v>139</v>
      </c>
      <c r="L257" s="17"/>
      <c r="M257" s="17"/>
      <c r="N257" s="17" t="s">
        <v>266</v>
      </c>
      <c r="O257" s="36"/>
      <c r="P257" s="17"/>
      <c r="Q257" s="17"/>
      <c r="U257" t="s">
        <v>281</v>
      </c>
      <c r="V257" t="s">
        <v>281</v>
      </c>
      <c r="X257" s="31">
        <v>43985</v>
      </c>
      <c r="Y257" s="31">
        <v>43986</v>
      </c>
      <c r="AA257" s="31"/>
      <c r="AB257" t="s">
        <v>9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1</v>
      </c>
      <c r="AI257">
        <v>70165</v>
      </c>
      <c r="AJ257">
        <v>2111</v>
      </c>
      <c r="AK257">
        <v>0</v>
      </c>
      <c r="AL257">
        <v>19</v>
      </c>
      <c r="AO257" s="41"/>
      <c r="AP257" s="41"/>
      <c r="AQ257" t="str">
        <f t="shared" si="6"/>
        <v/>
      </c>
      <c r="AS257" t="str">
        <f t="shared" si="7"/>
        <v>wci_corp</v>
      </c>
    </row>
    <row r="258" spans="2:45" x14ac:dyDescent="0.2">
      <c r="B258" t="s">
        <v>142</v>
      </c>
      <c r="C258" s="31">
        <v>43982</v>
      </c>
      <c r="D258" s="15">
        <v>25</v>
      </c>
      <c r="E258" s="15">
        <v>0</v>
      </c>
      <c r="F258" s="53" t="s">
        <v>134</v>
      </c>
      <c r="G258" t="s">
        <v>279</v>
      </c>
      <c r="H258" s="41" t="s">
        <v>136</v>
      </c>
      <c r="I258" t="s">
        <v>280</v>
      </c>
      <c r="J258" t="s">
        <v>190</v>
      </c>
      <c r="K258" t="s">
        <v>139</v>
      </c>
      <c r="L258" s="17"/>
      <c r="M258" s="17"/>
      <c r="N258" s="17" t="s">
        <v>266</v>
      </c>
      <c r="O258" s="36"/>
      <c r="P258" s="17"/>
      <c r="Q258" s="17"/>
      <c r="U258" t="s">
        <v>281</v>
      </c>
      <c r="V258" t="s">
        <v>281</v>
      </c>
      <c r="X258" s="31">
        <v>43985</v>
      </c>
      <c r="Y258" s="31">
        <v>43986</v>
      </c>
      <c r="AA258" s="31"/>
      <c r="AB258" t="s">
        <v>9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1</v>
      </c>
      <c r="AI258">
        <v>70165</v>
      </c>
      <c r="AJ258">
        <v>2111</v>
      </c>
      <c r="AK258">
        <v>0</v>
      </c>
      <c r="AL258">
        <v>19</v>
      </c>
      <c r="AO258" s="41"/>
      <c r="AP258" s="41"/>
      <c r="AQ258" t="str">
        <f t="shared" si="6"/>
        <v/>
      </c>
      <c r="AS258" t="str">
        <f t="shared" si="7"/>
        <v>wci_corp</v>
      </c>
    </row>
    <row r="259" spans="2:45" x14ac:dyDescent="0.2">
      <c r="B259" t="s">
        <v>170</v>
      </c>
      <c r="C259" s="31">
        <v>43982</v>
      </c>
      <c r="D259" s="15">
        <v>455.85</v>
      </c>
      <c r="E259" s="15">
        <v>0</v>
      </c>
      <c r="F259" s="53" t="s">
        <v>134</v>
      </c>
      <c r="G259" t="s">
        <v>282</v>
      </c>
      <c r="H259" s="41" t="s">
        <v>136</v>
      </c>
      <c r="I259" t="s">
        <v>283</v>
      </c>
      <c r="J259" t="s">
        <v>138</v>
      </c>
      <c r="K259" t="s">
        <v>139</v>
      </c>
      <c r="L259" s="17"/>
      <c r="M259" s="17"/>
      <c r="N259" s="17" t="s">
        <v>284</v>
      </c>
      <c r="O259" s="36"/>
      <c r="P259" s="17"/>
      <c r="Q259" s="17"/>
      <c r="U259" t="s">
        <v>285</v>
      </c>
      <c r="V259" t="s">
        <v>285</v>
      </c>
      <c r="X259" s="31">
        <v>43986</v>
      </c>
      <c r="Y259" s="31">
        <v>43986</v>
      </c>
      <c r="AA259" s="31"/>
      <c r="AB259" t="s">
        <v>9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1</v>
      </c>
      <c r="AI259">
        <v>50086</v>
      </c>
      <c r="AJ259">
        <v>2111</v>
      </c>
      <c r="AK259">
        <v>0</v>
      </c>
      <c r="AL259">
        <v>19</v>
      </c>
      <c r="AO259" s="41"/>
      <c r="AP259" s="41"/>
      <c r="AQ259" t="str">
        <f t="shared" si="6"/>
        <v/>
      </c>
      <c r="AS259" t="str">
        <f t="shared" si="7"/>
        <v>wci_corp</v>
      </c>
    </row>
    <row r="260" spans="2:45" x14ac:dyDescent="0.2">
      <c r="B260" t="s">
        <v>170</v>
      </c>
      <c r="C260" s="31">
        <v>43982</v>
      </c>
      <c r="D260" s="15">
        <v>17.75</v>
      </c>
      <c r="E260" s="15">
        <v>0</v>
      </c>
      <c r="F260" s="53" t="s">
        <v>134</v>
      </c>
      <c r="G260" t="s">
        <v>286</v>
      </c>
      <c r="H260" s="41" t="s">
        <v>136</v>
      </c>
      <c r="I260" t="s">
        <v>287</v>
      </c>
      <c r="J260" t="s">
        <v>138</v>
      </c>
      <c r="K260" t="s">
        <v>139</v>
      </c>
      <c r="L260" s="17"/>
      <c r="M260" s="17"/>
      <c r="N260" s="17" t="s">
        <v>288</v>
      </c>
      <c r="O260" s="36"/>
      <c r="P260" s="17"/>
      <c r="Q260" s="17"/>
      <c r="U260" t="s">
        <v>289</v>
      </c>
      <c r="V260" t="s">
        <v>289</v>
      </c>
      <c r="X260" s="31">
        <v>43986</v>
      </c>
      <c r="Y260" s="31">
        <v>43986</v>
      </c>
      <c r="AA260" s="31"/>
      <c r="AB260" t="s">
        <v>9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1</v>
      </c>
      <c r="AI260">
        <v>50086</v>
      </c>
      <c r="AJ260">
        <v>2111</v>
      </c>
      <c r="AK260">
        <v>0</v>
      </c>
      <c r="AL260">
        <v>19</v>
      </c>
      <c r="AO260" s="41"/>
      <c r="AP260" s="41"/>
      <c r="AQ260" t="str">
        <f t="shared" si="6"/>
        <v/>
      </c>
      <c r="AS260" t="str">
        <f t="shared" si="7"/>
        <v>wci_corp</v>
      </c>
    </row>
    <row r="261" spans="2:45" x14ac:dyDescent="0.2">
      <c r="B261" t="s">
        <v>170</v>
      </c>
      <c r="C261" s="31">
        <v>43982</v>
      </c>
      <c r="D261" s="15">
        <v>43.96</v>
      </c>
      <c r="E261" s="15">
        <v>0</v>
      </c>
      <c r="F261" s="53" t="s">
        <v>134</v>
      </c>
      <c r="G261" t="s">
        <v>286</v>
      </c>
      <c r="H261" s="41" t="s">
        <v>136</v>
      </c>
      <c r="I261" t="s">
        <v>287</v>
      </c>
      <c r="J261" t="s">
        <v>138</v>
      </c>
      <c r="K261" t="s">
        <v>139</v>
      </c>
      <c r="L261" s="17"/>
      <c r="M261" s="17"/>
      <c r="N261" s="17" t="s">
        <v>290</v>
      </c>
      <c r="O261" s="36"/>
      <c r="P261" s="17"/>
      <c r="Q261" s="17"/>
      <c r="U261" t="s">
        <v>289</v>
      </c>
      <c r="V261" t="s">
        <v>289</v>
      </c>
      <c r="X261" s="31">
        <v>43986</v>
      </c>
      <c r="Y261" s="31">
        <v>43986</v>
      </c>
      <c r="AA261" s="31"/>
      <c r="AB261" t="s">
        <v>9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1</v>
      </c>
      <c r="AI261">
        <v>50086</v>
      </c>
      <c r="AJ261">
        <v>2111</v>
      </c>
      <c r="AK261">
        <v>0</v>
      </c>
      <c r="AL261">
        <v>19</v>
      </c>
      <c r="AO261" s="41"/>
      <c r="AP261" s="41"/>
      <c r="AQ261" t="str">
        <f t="shared" si="6"/>
        <v/>
      </c>
      <c r="AS261" t="str">
        <f t="shared" si="7"/>
        <v>wci_corp</v>
      </c>
    </row>
    <row r="262" spans="2:45" x14ac:dyDescent="0.2">
      <c r="B262" t="s">
        <v>218</v>
      </c>
      <c r="C262" s="31">
        <v>43982</v>
      </c>
      <c r="D262" s="15">
        <v>138.88999999999999</v>
      </c>
      <c r="E262" s="15">
        <v>0</v>
      </c>
      <c r="F262" s="53" t="s">
        <v>134</v>
      </c>
      <c r="G262" t="s">
        <v>286</v>
      </c>
      <c r="H262" s="41" t="s">
        <v>136</v>
      </c>
      <c r="I262" t="s">
        <v>287</v>
      </c>
      <c r="J262" t="s">
        <v>138</v>
      </c>
      <c r="K262" t="s">
        <v>139</v>
      </c>
      <c r="L262" s="17"/>
      <c r="M262" s="17"/>
      <c r="N262" s="17" t="s">
        <v>291</v>
      </c>
      <c r="O262" s="36"/>
      <c r="P262" s="17"/>
      <c r="Q262" s="17"/>
      <c r="U262" t="s">
        <v>289</v>
      </c>
      <c r="V262" t="s">
        <v>289</v>
      </c>
      <c r="X262" s="31">
        <v>43986</v>
      </c>
      <c r="Y262" s="31">
        <v>43986</v>
      </c>
      <c r="AA262" s="31"/>
      <c r="AB262" t="s">
        <v>9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1</v>
      </c>
      <c r="AI262">
        <v>57125</v>
      </c>
      <c r="AJ262">
        <v>2111</v>
      </c>
      <c r="AK262">
        <v>0</v>
      </c>
      <c r="AL262">
        <v>19</v>
      </c>
      <c r="AO262" s="41"/>
      <c r="AP262" s="41"/>
      <c r="AQ262" t="str">
        <f t="shared" si="6"/>
        <v/>
      </c>
      <c r="AS262" t="str">
        <f t="shared" si="7"/>
        <v>wci_corp</v>
      </c>
    </row>
    <row r="263" spans="2:45" x14ac:dyDescent="0.2">
      <c r="B263" t="s">
        <v>218</v>
      </c>
      <c r="C263" s="31">
        <v>43982</v>
      </c>
      <c r="D263" s="15">
        <v>2971.13</v>
      </c>
      <c r="E263" s="15">
        <v>0</v>
      </c>
      <c r="F263" s="53" t="s">
        <v>134</v>
      </c>
      <c r="G263" t="s">
        <v>286</v>
      </c>
      <c r="H263" s="41" t="s">
        <v>136</v>
      </c>
      <c r="I263" t="s">
        <v>287</v>
      </c>
      <c r="J263" t="s">
        <v>138</v>
      </c>
      <c r="K263" t="s">
        <v>139</v>
      </c>
      <c r="L263" s="17"/>
      <c r="M263" s="17"/>
      <c r="N263" s="17" t="s">
        <v>291</v>
      </c>
      <c r="O263" s="36"/>
      <c r="P263" s="17"/>
      <c r="Q263" s="17"/>
      <c r="U263" t="s">
        <v>289</v>
      </c>
      <c r="V263" t="s">
        <v>289</v>
      </c>
      <c r="X263" s="31">
        <v>43986</v>
      </c>
      <c r="Y263" s="31">
        <v>43986</v>
      </c>
      <c r="AA263" s="31"/>
      <c r="AB263" t="s">
        <v>9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1</v>
      </c>
      <c r="AI263">
        <v>57125</v>
      </c>
      <c r="AJ263">
        <v>2111</v>
      </c>
      <c r="AK263">
        <v>0</v>
      </c>
      <c r="AL263">
        <v>19</v>
      </c>
      <c r="AO263" s="41"/>
      <c r="AP263" s="41"/>
      <c r="AQ263" t="str">
        <f t="shared" si="6"/>
        <v/>
      </c>
      <c r="AS263" t="str">
        <f t="shared" si="7"/>
        <v>wci_corp</v>
      </c>
    </row>
    <row r="264" spans="2:45" x14ac:dyDescent="0.2">
      <c r="B264" t="s">
        <v>292</v>
      </c>
      <c r="C264" s="31">
        <v>43982</v>
      </c>
      <c r="D264" s="15">
        <v>112.53</v>
      </c>
      <c r="E264" s="15">
        <v>0</v>
      </c>
      <c r="F264" s="53" t="s">
        <v>134</v>
      </c>
      <c r="G264" t="s">
        <v>286</v>
      </c>
      <c r="H264" s="41" t="s">
        <v>136</v>
      </c>
      <c r="I264" t="s">
        <v>287</v>
      </c>
      <c r="J264" t="s">
        <v>138</v>
      </c>
      <c r="K264" t="s">
        <v>139</v>
      </c>
      <c r="L264" s="17"/>
      <c r="M264" s="17"/>
      <c r="N264" s="17" t="s">
        <v>293</v>
      </c>
      <c r="O264" s="36"/>
      <c r="P264" s="17"/>
      <c r="Q264" s="17"/>
      <c r="U264" t="s">
        <v>289</v>
      </c>
      <c r="V264" t="s">
        <v>289</v>
      </c>
      <c r="X264" s="31">
        <v>43986</v>
      </c>
      <c r="Y264" s="31">
        <v>43986</v>
      </c>
      <c r="AA264" s="31"/>
      <c r="AB264" t="s">
        <v>9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1</v>
      </c>
      <c r="AI264">
        <v>57147</v>
      </c>
      <c r="AJ264">
        <v>2111</v>
      </c>
      <c r="AK264">
        <v>0</v>
      </c>
      <c r="AL264">
        <v>19</v>
      </c>
      <c r="AO264" s="41"/>
      <c r="AP264" s="41"/>
      <c r="AQ264" t="str">
        <f t="shared" si="6"/>
        <v/>
      </c>
      <c r="AS264" t="str">
        <f t="shared" si="7"/>
        <v>wci_corp</v>
      </c>
    </row>
    <row r="265" spans="2:45" x14ac:dyDescent="0.2">
      <c r="B265" t="s">
        <v>292</v>
      </c>
      <c r="C265" s="31">
        <v>43982</v>
      </c>
      <c r="D265" s="15">
        <v>141.28</v>
      </c>
      <c r="E265" s="15">
        <v>0</v>
      </c>
      <c r="F265" s="53" t="s">
        <v>134</v>
      </c>
      <c r="G265" t="s">
        <v>286</v>
      </c>
      <c r="H265" s="41" t="s">
        <v>136</v>
      </c>
      <c r="I265" t="s">
        <v>287</v>
      </c>
      <c r="J265" t="s">
        <v>138</v>
      </c>
      <c r="K265" t="s">
        <v>139</v>
      </c>
      <c r="L265" s="17"/>
      <c r="M265" s="17"/>
      <c r="N265" s="17" t="s">
        <v>294</v>
      </c>
      <c r="O265" s="36"/>
      <c r="P265" s="17"/>
      <c r="Q265" s="17"/>
      <c r="U265" t="s">
        <v>289</v>
      </c>
      <c r="V265" t="s">
        <v>289</v>
      </c>
      <c r="X265" s="31">
        <v>43986</v>
      </c>
      <c r="Y265" s="31">
        <v>43986</v>
      </c>
      <c r="AA265" s="31"/>
      <c r="AB265" t="s">
        <v>9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1</v>
      </c>
      <c r="AI265">
        <v>57147</v>
      </c>
      <c r="AJ265">
        <v>2111</v>
      </c>
      <c r="AK265">
        <v>0</v>
      </c>
      <c r="AL265">
        <v>19</v>
      </c>
      <c r="AO265" s="41"/>
      <c r="AP265" s="41"/>
      <c r="AQ265" t="str">
        <f t="shared" si="6"/>
        <v/>
      </c>
      <c r="AS265" t="str">
        <f t="shared" si="7"/>
        <v>wci_corp</v>
      </c>
    </row>
    <row r="266" spans="2:45" x14ac:dyDescent="0.2">
      <c r="B266" t="s">
        <v>292</v>
      </c>
      <c r="C266" s="31">
        <v>43982</v>
      </c>
      <c r="D266" s="15">
        <v>175.56</v>
      </c>
      <c r="E266" s="15">
        <v>0</v>
      </c>
      <c r="F266" s="53" t="s">
        <v>134</v>
      </c>
      <c r="G266" t="s">
        <v>286</v>
      </c>
      <c r="H266" s="41" t="s">
        <v>136</v>
      </c>
      <c r="I266" t="s">
        <v>287</v>
      </c>
      <c r="J266" t="s">
        <v>138</v>
      </c>
      <c r="K266" t="s">
        <v>139</v>
      </c>
      <c r="L266" s="17"/>
      <c r="M266" s="17"/>
      <c r="N266" s="17" t="s">
        <v>295</v>
      </c>
      <c r="O266" s="36"/>
      <c r="P266" s="17"/>
      <c r="Q266" s="17"/>
      <c r="U266" t="s">
        <v>289</v>
      </c>
      <c r="V266" t="s">
        <v>289</v>
      </c>
      <c r="X266" s="31">
        <v>43986</v>
      </c>
      <c r="Y266" s="31">
        <v>43986</v>
      </c>
      <c r="AA266" s="31"/>
      <c r="AB266" t="s">
        <v>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1</v>
      </c>
      <c r="AI266">
        <v>57147</v>
      </c>
      <c r="AJ266">
        <v>2111</v>
      </c>
      <c r="AK266">
        <v>0</v>
      </c>
      <c r="AL266">
        <v>19</v>
      </c>
      <c r="AO266" s="41"/>
      <c r="AP266" s="41"/>
      <c r="AQ266" t="str">
        <f t="shared" si="6"/>
        <v/>
      </c>
      <c r="AS266" t="str">
        <f t="shared" si="7"/>
        <v>wci_corp</v>
      </c>
    </row>
    <row r="267" spans="2:45" x14ac:dyDescent="0.2">
      <c r="B267" t="s">
        <v>292</v>
      </c>
      <c r="C267" s="31">
        <v>43982</v>
      </c>
      <c r="D267" s="15">
        <v>62.9</v>
      </c>
      <c r="E267" s="15">
        <v>0</v>
      </c>
      <c r="F267" s="53" t="s">
        <v>134</v>
      </c>
      <c r="G267" t="s">
        <v>286</v>
      </c>
      <c r="H267" s="41" t="s">
        <v>136</v>
      </c>
      <c r="I267" t="s">
        <v>287</v>
      </c>
      <c r="J267" t="s">
        <v>138</v>
      </c>
      <c r="K267" t="s">
        <v>139</v>
      </c>
      <c r="L267" s="17"/>
      <c r="M267" s="17"/>
      <c r="N267" s="17" t="s">
        <v>296</v>
      </c>
      <c r="O267" s="36"/>
      <c r="P267" s="17"/>
      <c r="Q267" s="17"/>
      <c r="U267" t="s">
        <v>289</v>
      </c>
      <c r="V267" t="s">
        <v>289</v>
      </c>
      <c r="X267" s="31">
        <v>43986</v>
      </c>
      <c r="Y267" s="31">
        <v>43986</v>
      </c>
      <c r="AA267" s="31"/>
      <c r="AB267" t="s">
        <v>9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1</v>
      </c>
      <c r="AI267">
        <v>57147</v>
      </c>
      <c r="AJ267">
        <v>2111</v>
      </c>
      <c r="AK267">
        <v>0</v>
      </c>
      <c r="AL267">
        <v>19</v>
      </c>
      <c r="AO267" s="41"/>
      <c r="AP267" s="41"/>
      <c r="AQ267" t="str">
        <f t="shared" si="6"/>
        <v/>
      </c>
      <c r="AS267" t="str">
        <f t="shared" si="7"/>
        <v>wci_corp</v>
      </c>
    </row>
    <row r="268" spans="2:45" x14ac:dyDescent="0.2">
      <c r="B268" t="s">
        <v>292</v>
      </c>
      <c r="C268" s="31">
        <v>43982</v>
      </c>
      <c r="D268" s="15">
        <v>259.32</v>
      </c>
      <c r="E268" s="15">
        <v>0</v>
      </c>
      <c r="F268" s="53" t="s">
        <v>134</v>
      </c>
      <c r="G268" t="s">
        <v>286</v>
      </c>
      <c r="H268" s="41" t="s">
        <v>136</v>
      </c>
      <c r="I268" t="s">
        <v>287</v>
      </c>
      <c r="J268" t="s">
        <v>138</v>
      </c>
      <c r="K268" t="s">
        <v>139</v>
      </c>
      <c r="L268" s="17"/>
      <c r="M268" s="17"/>
      <c r="N268" s="17" t="s">
        <v>297</v>
      </c>
      <c r="O268" s="36"/>
      <c r="P268" s="17"/>
      <c r="Q268" s="17"/>
      <c r="U268" t="s">
        <v>289</v>
      </c>
      <c r="V268" t="s">
        <v>289</v>
      </c>
      <c r="X268" s="31">
        <v>43986</v>
      </c>
      <c r="Y268" s="31">
        <v>43986</v>
      </c>
      <c r="AA268" s="31"/>
      <c r="AB268" t="s">
        <v>9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1</v>
      </c>
      <c r="AI268">
        <v>57147</v>
      </c>
      <c r="AJ268">
        <v>2111</v>
      </c>
      <c r="AK268">
        <v>0</v>
      </c>
      <c r="AL268">
        <v>19</v>
      </c>
      <c r="AO268" s="41"/>
      <c r="AP268" s="41"/>
      <c r="AQ268" t="str">
        <f t="shared" si="6"/>
        <v/>
      </c>
      <c r="AS268" t="str">
        <f t="shared" si="7"/>
        <v>wci_corp</v>
      </c>
    </row>
    <row r="269" spans="2:45" x14ac:dyDescent="0.2">
      <c r="B269" t="s">
        <v>292</v>
      </c>
      <c r="C269" s="31">
        <v>43982</v>
      </c>
      <c r="D269" s="15">
        <v>617.67999999999995</v>
      </c>
      <c r="E269" s="15">
        <v>0</v>
      </c>
      <c r="F269" s="53" t="s">
        <v>134</v>
      </c>
      <c r="G269" t="s">
        <v>286</v>
      </c>
      <c r="H269" s="41" t="s">
        <v>136</v>
      </c>
      <c r="I269" t="s">
        <v>287</v>
      </c>
      <c r="J269" t="s">
        <v>138</v>
      </c>
      <c r="K269" t="s">
        <v>139</v>
      </c>
      <c r="L269" s="17"/>
      <c r="M269" s="17"/>
      <c r="N269" s="17" t="s">
        <v>298</v>
      </c>
      <c r="O269" s="36"/>
      <c r="P269" s="17"/>
      <c r="Q269" s="17"/>
      <c r="U269" t="s">
        <v>289</v>
      </c>
      <c r="V269" t="s">
        <v>289</v>
      </c>
      <c r="X269" s="31">
        <v>43986</v>
      </c>
      <c r="Y269" s="31">
        <v>43986</v>
      </c>
      <c r="AA269" s="31"/>
      <c r="AB269" t="s">
        <v>9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1</v>
      </c>
      <c r="AI269">
        <v>57147</v>
      </c>
      <c r="AJ269">
        <v>2111</v>
      </c>
      <c r="AK269">
        <v>0</v>
      </c>
      <c r="AL269">
        <v>19</v>
      </c>
      <c r="AO269" s="41"/>
      <c r="AP269" s="41"/>
      <c r="AQ269" t="str">
        <f t="shared" si="6"/>
        <v/>
      </c>
      <c r="AS269" t="str">
        <f t="shared" si="7"/>
        <v>wci_corp</v>
      </c>
    </row>
    <row r="270" spans="2:45" x14ac:dyDescent="0.2">
      <c r="B270" t="s">
        <v>142</v>
      </c>
      <c r="C270" s="31">
        <v>43982</v>
      </c>
      <c r="D270" s="15">
        <v>825</v>
      </c>
      <c r="E270" s="15">
        <v>0</v>
      </c>
      <c r="F270" s="53" t="s">
        <v>134</v>
      </c>
      <c r="G270" t="s">
        <v>299</v>
      </c>
      <c r="H270" s="41" t="s">
        <v>136</v>
      </c>
      <c r="I270" t="s">
        <v>300</v>
      </c>
      <c r="J270" t="s">
        <v>138</v>
      </c>
      <c r="K270" t="s">
        <v>139</v>
      </c>
      <c r="L270" s="17"/>
      <c r="M270" s="17"/>
      <c r="N270" s="17" t="s">
        <v>301</v>
      </c>
      <c r="O270" s="36"/>
      <c r="P270" s="17"/>
      <c r="Q270" s="17"/>
      <c r="U270" t="s">
        <v>302</v>
      </c>
      <c r="V270" t="s">
        <v>302</v>
      </c>
      <c r="X270" s="31">
        <v>43986</v>
      </c>
      <c r="Y270" s="31">
        <v>43986</v>
      </c>
      <c r="AA270" s="31"/>
      <c r="AB270" t="s">
        <v>9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1</v>
      </c>
      <c r="AI270">
        <v>70165</v>
      </c>
      <c r="AJ270">
        <v>2111</v>
      </c>
      <c r="AK270">
        <v>0</v>
      </c>
      <c r="AL270">
        <v>19</v>
      </c>
      <c r="AO270" s="41"/>
      <c r="AP270" s="41"/>
      <c r="AQ270" t="str">
        <f t="shared" si="6"/>
        <v/>
      </c>
      <c r="AS270" t="str">
        <f t="shared" si="7"/>
        <v>wci_corp</v>
      </c>
    </row>
    <row r="271" spans="2:45" x14ac:dyDescent="0.2">
      <c r="B271" t="s">
        <v>156</v>
      </c>
      <c r="C271" s="31">
        <v>43982</v>
      </c>
      <c r="D271" s="15">
        <v>12781.42</v>
      </c>
      <c r="E271" s="15">
        <v>0</v>
      </c>
      <c r="F271" s="53" t="s">
        <v>134</v>
      </c>
      <c r="G271" t="s">
        <v>303</v>
      </c>
      <c r="H271" s="41" t="s">
        <v>136</v>
      </c>
      <c r="I271" t="s">
        <v>304</v>
      </c>
      <c r="J271" t="s">
        <v>138</v>
      </c>
      <c r="K271" t="s">
        <v>139</v>
      </c>
      <c r="L271" s="17"/>
      <c r="M271" s="17"/>
      <c r="N271" s="17" t="s">
        <v>305</v>
      </c>
      <c r="O271" s="36"/>
      <c r="P271" s="17"/>
      <c r="Q271" s="17"/>
      <c r="U271" t="s">
        <v>306</v>
      </c>
      <c r="V271" t="s">
        <v>306</v>
      </c>
      <c r="X271" s="31">
        <v>43986</v>
      </c>
      <c r="Y271" s="31">
        <v>43986</v>
      </c>
      <c r="AA271" s="31"/>
      <c r="AB271" t="s">
        <v>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1</v>
      </c>
      <c r="AI271">
        <v>50036</v>
      </c>
      <c r="AJ271">
        <v>2111</v>
      </c>
      <c r="AK271">
        <v>0</v>
      </c>
      <c r="AL271">
        <v>19</v>
      </c>
      <c r="AO271" s="41"/>
      <c r="AP271" s="41"/>
      <c r="AQ271" t="str">
        <f t="shared" si="6"/>
        <v/>
      </c>
      <c r="AS271" t="str">
        <f t="shared" si="7"/>
        <v>wci_corp</v>
      </c>
    </row>
    <row r="272" spans="2:45" x14ac:dyDescent="0.2">
      <c r="B272" t="s">
        <v>161</v>
      </c>
      <c r="C272" s="31">
        <v>43982</v>
      </c>
      <c r="D272" s="15">
        <v>977.78</v>
      </c>
      <c r="E272" s="15">
        <v>0</v>
      </c>
      <c r="F272" s="53" t="s">
        <v>134</v>
      </c>
      <c r="G272" t="s">
        <v>303</v>
      </c>
      <c r="H272" s="41" t="s">
        <v>136</v>
      </c>
      <c r="I272" t="s">
        <v>304</v>
      </c>
      <c r="J272" t="s">
        <v>138</v>
      </c>
      <c r="K272" t="s">
        <v>139</v>
      </c>
      <c r="L272" s="17"/>
      <c r="M272" s="17"/>
      <c r="N272" s="17" t="s">
        <v>305</v>
      </c>
      <c r="O272" s="36"/>
      <c r="P272" s="17"/>
      <c r="Q272" s="17"/>
      <c r="U272" t="s">
        <v>306</v>
      </c>
      <c r="V272" t="s">
        <v>306</v>
      </c>
      <c r="X272" s="31">
        <v>43986</v>
      </c>
      <c r="Y272" s="31">
        <v>43986</v>
      </c>
      <c r="AA272" s="31"/>
      <c r="AB272" t="s">
        <v>9</v>
      </c>
      <c r="AC272">
        <v>0</v>
      </c>
      <c r="AD272">
        <v>0</v>
      </c>
      <c r="AE272">
        <v>0</v>
      </c>
      <c r="AF272">
        <v>0</v>
      </c>
      <c r="AG272">
        <v>0</v>
      </c>
      <c r="AH272">
        <v>1</v>
      </c>
      <c r="AI272">
        <v>50050</v>
      </c>
      <c r="AJ272">
        <v>2111</v>
      </c>
      <c r="AK272">
        <v>0</v>
      </c>
      <c r="AL272">
        <v>19</v>
      </c>
      <c r="AO272" s="41"/>
      <c r="AP272" s="41"/>
      <c r="AQ272" t="str">
        <f t="shared" si="6"/>
        <v/>
      </c>
      <c r="AS272" t="str">
        <f t="shared" si="7"/>
        <v>wci_corp</v>
      </c>
    </row>
    <row r="273" spans="2:45" x14ac:dyDescent="0.2">
      <c r="B273" t="s">
        <v>162</v>
      </c>
      <c r="C273" s="31">
        <v>43982</v>
      </c>
      <c r="D273" s="15">
        <v>2216.92</v>
      </c>
      <c r="E273" s="15">
        <v>0</v>
      </c>
      <c r="F273" s="53" t="s">
        <v>134</v>
      </c>
      <c r="G273" t="s">
        <v>303</v>
      </c>
      <c r="H273" s="41" t="s">
        <v>136</v>
      </c>
      <c r="I273" t="s">
        <v>304</v>
      </c>
      <c r="J273" t="s">
        <v>138</v>
      </c>
      <c r="K273" t="s">
        <v>139</v>
      </c>
      <c r="L273" s="17"/>
      <c r="M273" s="17"/>
      <c r="N273" s="17" t="s">
        <v>305</v>
      </c>
      <c r="O273" s="36"/>
      <c r="P273" s="17"/>
      <c r="Q273" s="17"/>
      <c r="U273" t="s">
        <v>306</v>
      </c>
      <c r="V273" t="s">
        <v>306</v>
      </c>
      <c r="X273" s="31">
        <v>43986</v>
      </c>
      <c r="Y273" s="31">
        <v>43986</v>
      </c>
      <c r="AA273" s="31"/>
      <c r="AB273" t="s">
        <v>9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1</v>
      </c>
      <c r="AI273">
        <v>52036</v>
      </c>
      <c r="AJ273">
        <v>2111</v>
      </c>
      <c r="AK273">
        <v>0</v>
      </c>
      <c r="AL273">
        <v>19</v>
      </c>
      <c r="AO273" s="41"/>
      <c r="AP273" s="41"/>
      <c r="AQ273" t="str">
        <f t="shared" si="6"/>
        <v/>
      </c>
      <c r="AS273" t="str">
        <f t="shared" si="7"/>
        <v>wci_corp</v>
      </c>
    </row>
    <row r="274" spans="2:45" x14ac:dyDescent="0.2">
      <c r="B274" t="s">
        <v>163</v>
      </c>
      <c r="C274" s="31">
        <v>43982</v>
      </c>
      <c r="D274" s="15">
        <v>169.59</v>
      </c>
      <c r="E274" s="15">
        <v>0</v>
      </c>
      <c r="F274" s="53" t="s">
        <v>134</v>
      </c>
      <c r="G274" t="s">
        <v>303</v>
      </c>
      <c r="H274" s="41" t="s">
        <v>136</v>
      </c>
      <c r="I274" t="s">
        <v>304</v>
      </c>
      <c r="J274" t="s">
        <v>138</v>
      </c>
      <c r="K274" t="s">
        <v>139</v>
      </c>
      <c r="L274" s="17"/>
      <c r="M274" s="17"/>
      <c r="N274" s="17" t="s">
        <v>305</v>
      </c>
      <c r="O274" s="36"/>
      <c r="P274" s="17"/>
      <c r="Q274" s="17"/>
      <c r="U274" t="s">
        <v>306</v>
      </c>
      <c r="V274" t="s">
        <v>306</v>
      </c>
      <c r="X274" s="31">
        <v>43986</v>
      </c>
      <c r="Y274" s="31">
        <v>43986</v>
      </c>
      <c r="AA274" s="31"/>
      <c r="AB274" t="s">
        <v>9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1</v>
      </c>
      <c r="AI274">
        <v>52050</v>
      </c>
      <c r="AJ274">
        <v>2111</v>
      </c>
      <c r="AK274">
        <v>0</v>
      </c>
      <c r="AL274">
        <v>19</v>
      </c>
      <c r="AO274" s="41"/>
      <c r="AP274" s="41"/>
      <c r="AQ274" t="str">
        <f t="shared" si="6"/>
        <v/>
      </c>
      <c r="AS274" t="str">
        <f t="shared" si="7"/>
        <v>wci_corp</v>
      </c>
    </row>
    <row r="275" spans="2:45" x14ac:dyDescent="0.2">
      <c r="B275" t="s">
        <v>164</v>
      </c>
      <c r="C275" s="31">
        <v>43982</v>
      </c>
      <c r="D275" s="15">
        <v>571.44000000000005</v>
      </c>
      <c r="E275" s="15">
        <v>0</v>
      </c>
      <c r="F275" s="53" t="s">
        <v>134</v>
      </c>
      <c r="G275" t="s">
        <v>303</v>
      </c>
      <c r="H275" s="41" t="s">
        <v>136</v>
      </c>
      <c r="I275" t="s">
        <v>304</v>
      </c>
      <c r="J275" t="s">
        <v>138</v>
      </c>
      <c r="K275" t="s">
        <v>139</v>
      </c>
      <c r="L275" s="17"/>
      <c r="M275" s="17"/>
      <c r="N275" s="17" t="s">
        <v>305</v>
      </c>
      <c r="O275" s="36"/>
      <c r="P275" s="17"/>
      <c r="Q275" s="17"/>
      <c r="U275" t="s">
        <v>306</v>
      </c>
      <c r="V275" t="s">
        <v>306</v>
      </c>
      <c r="X275" s="31">
        <v>43986</v>
      </c>
      <c r="Y275" s="31">
        <v>43986</v>
      </c>
      <c r="AA275" s="31"/>
      <c r="AB275" t="s">
        <v>9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1</v>
      </c>
      <c r="AI275">
        <v>55036</v>
      </c>
      <c r="AJ275">
        <v>2111</v>
      </c>
      <c r="AK275">
        <v>0</v>
      </c>
      <c r="AL275">
        <v>19</v>
      </c>
      <c r="AO275" s="41"/>
      <c r="AP275" s="41"/>
      <c r="AQ275" t="str">
        <f t="shared" si="6"/>
        <v/>
      </c>
      <c r="AS275" t="str">
        <f t="shared" si="7"/>
        <v>wci_corp</v>
      </c>
    </row>
    <row r="276" spans="2:45" x14ac:dyDescent="0.2">
      <c r="B276" t="s">
        <v>165</v>
      </c>
      <c r="C276" s="31">
        <v>43982</v>
      </c>
      <c r="D276" s="15">
        <v>43.72</v>
      </c>
      <c r="E276" s="15">
        <v>0</v>
      </c>
      <c r="F276" s="53" t="s">
        <v>134</v>
      </c>
      <c r="G276" t="s">
        <v>303</v>
      </c>
      <c r="H276" s="41" t="s">
        <v>136</v>
      </c>
      <c r="I276" t="s">
        <v>304</v>
      </c>
      <c r="J276" t="s">
        <v>138</v>
      </c>
      <c r="K276" t="s">
        <v>139</v>
      </c>
      <c r="L276" s="17"/>
      <c r="M276" s="17"/>
      <c r="N276" s="17" t="s">
        <v>305</v>
      </c>
      <c r="O276" s="36"/>
      <c r="P276" s="17"/>
      <c r="Q276" s="17"/>
      <c r="U276" t="s">
        <v>306</v>
      </c>
      <c r="V276" t="s">
        <v>306</v>
      </c>
      <c r="X276" s="31">
        <v>43986</v>
      </c>
      <c r="Y276" s="31">
        <v>43986</v>
      </c>
      <c r="AA276" s="31"/>
      <c r="AB276" t="s">
        <v>9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1</v>
      </c>
      <c r="AI276">
        <v>55050</v>
      </c>
      <c r="AJ276">
        <v>2111</v>
      </c>
      <c r="AK276">
        <v>0</v>
      </c>
      <c r="AL276">
        <v>19</v>
      </c>
      <c r="AO276" s="41"/>
      <c r="AP276" s="41"/>
      <c r="AQ276" t="str">
        <f t="shared" si="6"/>
        <v/>
      </c>
      <c r="AS276" t="str">
        <f t="shared" si="7"/>
        <v>wci_corp</v>
      </c>
    </row>
    <row r="277" spans="2:45" x14ac:dyDescent="0.2">
      <c r="B277" t="s">
        <v>166</v>
      </c>
      <c r="C277" s="31">
        <v>43982</v>
      </c>
      <c r="D277" s="15">
        <v>750</v>
      </c>
      <c r="E277" s="15">
        <v>0</v>
      </c>
      <c r="F277" s="53" t="s">
        <v>134</v>
      </c>
      <c r="G277" t="s">
        <v>303</v>
      </c>
      <c r="H277" s="41" t="s">
        <v>136</v>
      </c>
      <c r="I277" t="s">
        <v>304</v>
      </c>
      <c r="J277" t="s">
        <v>138</v>
      </c>
      <c r="K277" t="s">
        <v>139</v>
      </c>
      <c r="L277" s="17"/>
      <c r="M277" s="17"/>
      <c r="N277" s="17" t="s">
        <v>305</v>
      </c>
      <c r="O277" s="36"/>
      <c r="P277" s="17"/>
      <c r="Q277" s="17"/>
      <c r="U277" t="s">
        <v>306</v>
      </c>
      <c r="V277" t="s">
        <v>306</v>
      </c>
      <c r="X277" s="31">
        <v>43986</v>
      </c>
      <c r="Y277" s="31">
        <v>43986</v>
      </c>
      <c r="AA277" s="31"/>
      <c r="AB277" t="s">
        <v>9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1</v>
      </c>
      <c r="AI277">
        <v>56036</v>
      </c>
      <c r="AJ277">
        <v>2111</v>
      </c>
      <c r="AK277">
        <v>0</v>
      </c>
      <c r="AL277">
        <v>19</v>
      </c>
      <c r="AO277" s="41"/>
      <c r="AP277" s="41"/>
      <c r="AQ277" t="str">
        <f t="shared" ref="AQ277:AQ340" si="8">IF(LEFT(U277,2)="VO",U277,"")</f>
        <v/>
      </c>
      <c r="AS277" t="str">
        <f t="shared" ref="AS277:AS340" si="9">IF(RIGHT(K277,2)="IC",IF(OR(AB277="wci_canada",AB277="wci_can_corp"),"wci_can_Corp","wci_corp"),AB277)</f>
        <v>wci_corp</v>
      </c>
    </row>
    <row r="278" spans="2:45" x14ac:dyDescent="0.2">
      <c r="B278" t="s">
        <v>167</v>
      </c>
      <c r="C278" s="31">
        <v>43982</v>
      </c>
      <c r="D278" s="15">
        <v>57.38</v>
      </c>
      <c r="E278" s="15">
        <v>0</v>
      </c>
      <c r="F278" s="53" t="s">
        <v>134</v>
      </c>
      <c r="G278" t="s">
        <v>303</v>
      </c>
      <c r="H278" s="41" t="s">
        <v>136</v>
      </c>
      <c r="I278" t="s">
        <v>304</v>
      </c>
      <c r="J278" t="s">
        <v>138</v>
      </c>
      <c r="K278" t="s">
        <v>139</v>
      </c>
      <c r="L278" s="17"/>
      <c r="M278" s="17"/>
      <c r="N278" s="17" t="s">
        <v>305</v>
      </c>
      <c r="O278" s="36"/>
      <c r="P278" s="17"/>
      <c r="Q278" s="17"/>
      <c r="U278" t="s">
        <v>306</v>
      </c>
      <c r="V278" t="s">
        <v>306</v>
      </c>
      <c r="X278" s="31">
        <v>43986</v>
      </c>
      <c r="Y278" s="31">
        <v>43986</v>
      </c>
      <c r="AA278" s="31"/>
      <c r="AB278" t="s">
        <v>9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1</v>
      </c>
      <c r="AI278">
        <v>56050</v>
      </c>
      <c r="AJ278">
        <v>2111</v>
      </c>
      <c r="AK278">
        <v>0</v>
      </c>
      <c r="AL278">
        <v>19</v>
      </c>
      <c r="AO278" s="41"/>
      <c r="AP278" s="41"/>
      <c r="AQ278" t="str">
        <f t="shared" si="8"/>
        <v/>
      </c>
      <c r="AS278" t="str">
        <f t="shared" si="9"/>
        <v>wci_corp</v>
      </c>
    </row>
    <row r="279" spans="2:45" x14ac:dyDescent="0.2">
      <c r="B279" t="s">
        <v>168</v>
      </c>
      <c r="C279" s="31">
        <v>43982</v>
      </c>
      <c r="D279" s="15">
        <v>2060</v>
      </c>
      <c r="E279" s="15">
        <v>0</v>
      </c>
      <c r="F279" s="53" t="s">
        <v>134</v>
      </c>
      <c r="G279" t="s">
        <v>303</v>
      </c>
      <c r="H279" s="41" t="s">
        <v>136</v>
      </c>
      <c r="I279" t="s">
        <v>304</v>
      </c>
      <c r="J279" t="s">
        <v>138</v>
      </c>
      <c r="K279" t="s">
        <v>139</v>
      </c>
      <c r="L279" s="17"/>
      <c r="M279" s="17"/>
      <c r="N279" s="17" t="s">
        <v>305</v>
      </c>
      <c r="O279" s="36"/>
      <c r="P279" s="17"/>
      <c r="Q279" s="17"/>
      <c r="U279" t="s">
        <v>306</v>
      </c>
      <c r="V279" t="s">
        <v>306</v>
      </c>
      <c r="X279" s="31">
        <v>43986</v>
      </c>
      <c r="Y279" s="31">
        <v>43986</v>
      </c>
      <c r="AA279" s="31"/>
      <c r="AB279" t="s">
        <v>9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1</v>
      </c>
      <c r="AI279">
        <v>70036</v>
      </c>
      <c r="AJ279">
        <v>2111</v>
      </c>
      <c r="AK279">
        <v>0</v>
      </c>
      <c r="AL279">
        <v>19</v>
      </c>
      <c r="AO279" s="41"/>
      <c r="AP279" s="41"/>
      <c r="AQ279" t="str">
        <f t="shared" si="8"/>
        <v/>
      </c>
      <c r="AS279" t="str">
        <f t="shared" si="9"/>
        <v>wci_corp</v>
      </c>
    </row>
    <row r="280" spans="2:45" x14ac:dyDescent="0.2">
      <c r="B280" t="s">
        <v>169</v>
      </c>
      <c r="C280" s="31">
        <v>43982</v>
      </c>
      <c r="D280" s="15">
        <v>157.59</v>
      </c>
      <c r="E280" s="15">
        <v>0</v>
      </c>
      <c r="F280" s="53" t="s">
        <v>134</v>
      </c>
      <c r="G280" t="s">
        <v>303</v>
      </c>
      <c r="H280" s="41" t="s">
        <v>136</v>
      </c>
      <c r="I280" t="s">
        <v>304</v>
      </c>
      <c r="J280" t="s">
        <v>138</v>
      </c>
      <c r="K280" t="s">
        <v>139</v>
      </c>
      <c r="L280" s="17"/>
      <c r="M280" s="17"/>
      <c r="N280" s="17" t="s">
        <v>305</v>
      </c>
      <c r="O280" s="36"/>
      <c r="P280" s="17"/>
      <c r="Q280" s="17"/>
      <c r="U280" t="s">
        <v>306</v>
      </c>
      <c r="V280" t="s">
        <v>306</v>
      </c>
      <c r="X280" s="31">
        <v>43986</v>
      </c>
      <c r="Y280" s="31">
        <v>43986</v>
      </c>
      <c r="AA280" s="31"/>
      <c r="AB280" t="s">
        <v>9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1</v>
      </c>
      <c r="AI280">
        <v>70050</v>
      </c>
      <c r="AJ280">
        <v>2111</v>
      </c>
      <c r="AK280">
        <v>0</v>
      </c>
      <c r="AL280">
        <v>19</v>
      </c>
      <c r="AO280" s="41"/>
      <c r="AP280" s="41"/>
      <c r="AQ280" t="str">
        <f t="shared" si="8"/>
        <v/>
      </c>
      <c r="AS280" t="str">
        <f t="shared" si="9"/>
        <v>wci_corp</v>
      </c>
    </row>
    <row r="281" spans="2:45" x14ac:dyDescent="0.2">
      <c r="B281" t="s">
        <v>156</v>
      </c>
      <c r="C281" s="31">
        <v>43982</v>
      </c>
      <c r="D281" s="15">
        <v>-12781.42</v>
      </c>
      <c r="E281" s="15">
        <v>0</v>
      </c>
      <c r="F281" s="53" t="s">
        <v>134</v>
      </c>
      <c r="G281" t="s">
        <v>307</v>
      </c>
      <c r="H281" s="41" t="s">
        <v>136</v>
      </c>
      <c r="I281" t="s">
        <v>308</v>
      </c>
      <c r="J281" t="s">
        <v>138</v>
      </c>
      <c r="K281" t="s">
        <v>139</v>
      </c>
      <c r="L281" s="17"/>
      <c r="M281" s="17"/>
      <c r="N281" s="17" t="s">
        <v>309</v>
      </c>
      <c r="O281" s="36"/>
      <c r="P281" s="17"/>
      <c r="Q281" s="17"/>
      <c r="U281" t="s">
        <v>310</v>
      </c>
      <c r="V281" t="s">
        <v>310</v>
      </c>
      <c r="X281" s="31">
        <v>43987</v>
      </c>
      <c r="Y281" s="31">
        <v>43987</v>
      </c>
      <c r="AA281" s="31"/>
      <c r="AB281" t="s">
        <v>9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1</v>
      </c>
      <c r="AI281">
        <v>50036</v>
      </c>
      <c r="AJ281">
        <v>2111</v>
      </c>
      <c r="AK281">
        <v>0</v>
      </c>
      <c r="AL281">
        <v>19</v>
      </c>
      <c r="AO281" s="41"/>
      <c r="AP281" s="41"/>
      <c r="AQ281" t="str">
        <f t="shared" si="8"/>
        <v/>
      </c>
      <c r="AS281" t="str">
        <f t="shared" si="9"/>
        <v>wci_corp</v>
      </c>
    </row>
    <row r="282" spans="2:45" x14ac:dyDescent="0.2">
      <c r="B282" t="s">
        <v>161</v>
      </c>
      <c r="C282" s="31">
        <v>43982</v>
      </c>
      <c r="D282" s="15">
        <v>-977.78</v>
      </c>
      <c r="E282" s="15">
        <v>0</v>
      </c>
      <c r="F282" s="53" t="s">
        <v>134</v>
      </c>
      <c r="G282" t="s">
        <v>307</v>
      </c>
      <c r="H282" s="41" t="s">
        <v>136</v>
      </c>
      <c r="I282" t="s">
        <v>308</v>
      </c>
      <c r="J282" t="s">
        <v>138</v>
      </c>
      <c r="K282" t="s">
        <v>139</v>
      </c>
      <c r="L282" s="17"/>
      <c r="M282" s="17"/>
      <c r="N282" s="17" t="s">
        <v>309</v>
      </c>
      <c r="O282" s="36"/>
      <c r="P282" s="17"/>
      <c r="Q282" s="17"/>
      <c r="U282" t="s">
        <v>310</v>
      </c>
      <c r="V282" t="s">
        <v>310</v>
      </c>
      <c r="X282" s="31">
        <v>43987</v>
      </c>
      <c r="Y282" s="31">
        <v>43987</v>
      </c>
      <c r="AA282" s="31"/>
      <c r="AB282" t="s">
        <v>9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1</v>
      </c>
      <c r="AI282">
        <v>50050</v>
      </c>
      <c r="AJ282">
        <v>2111</v>
      </c>
      <c r="AK282">
        <v>0</v>
      </c>
      <c r="AL282">
        <v>19</v>
      </c>
      <c r="AO282" s="41"/>
      <c r="AP282" s="41"/>
      <c r="AQ282" t="str">
        <f t="shared" si="8"/>
        <v/>
      </c>
      <c r="AS282" t="str">
        <f t="shared" si="9"/>
        <v>wci_corp</v>
      </c>
    </row>
    <row r="283" spans="2:45" x14ac:dyDescent="0.2">
      <c r="B283" t="s">
        <v>162</v>
      </c>
      <c r="C283" s="31">
        <v>43982</v>
      </c>
      <c r="D283" s="15">
        <v>-2216.92</v>
      </c>
      <c r="E283" s="15">
        <v>0</v>
      </c>
      <c r="F283" s="53" t="s">
        <v>134</v>
      </c>
      <c r="G283" t="s">
        <v>307</v>
      </c>
      <c r="H283" s="41" t="s">
        <v>136</v>
      </c>
      <c r="I283" t="s">
        <v>308</v>
      </c>
      <c r="J283" t="s">
        <v>138</v>
      </c>
      <c r="K283" t="s">
        <v>139</v>
      </c>
      <c r="L283" s="17"/>
      <c r="M283" s="17"/>
      <c r="N283" s="17" t="s">
        <v>309</v>
      </c>
      <c r="O283" s="36"/>
      <c r="P283" s="17"/>
      <c r="Q283" s="17"/>
      <c r="U283" t="s">
        <v>310</v>
      </c>
      <c r="V283" t="s">
        <v>310</v>
      </c>
      <c r="X283" s="31">
        <v>43987</v>
      </c>
      <c r="Y283" s="31">
        <v>43987</v>
      </c>
      <c r="AA283" s="31"/>
      <c r="AB283" t="s">
        <v>9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1</v>
      </c>
      <c r="AI283">
        <v>52036</v>
      </c>
      <c r="AJ283">
        <v>2111</v>
      </c>
      <c r="AK283">
        <v>0</v>
      </c>
      <c r="AL283">
        <v>19</v>
      </c>
      <c r="AO283" s="41"/>
      <c r="AP283" s="41"/>
      <c r="AQ283" t="str">
        <f t="shared" si="8"/>
        <v/>
      </c>
      <c r="AS283" t="str">
        <f t="shared" si="9"/>
        <v>wci_corp</v>
      </c>
    </row>
    <row r="284" spans="2:45" x14ac:dyDescent="0.2">
      <c r="B284" t="s">
        <v>163</v>
      </c>
      <c r="C284" s="31">
        <v>43982</v>
      </c>
      <c r="D284" s="15">
        <v>-169.59</v>
      </c>
      <c r="E284" s="15">
        <v>0</v>
      </c>
      <c r="F284" s="53" t="s">
        <v>134</v>
      </c>
      <c r="G284" t="s">
        <v>307</v>
      </c>
      <c r="H284" s="41" t="s">
        <v>136</v>
      </c>
      <c r="I284" t="s">
        <v>308</v>
      </c>
      <c r="J284" t="s">
        <v>138</v>
      </c>
      <c r="K284" t="s">
        <v>139</v>
      </c>
      <c r="L284" s="17"/>
      <c r="M284" s="17"/>
      <c r="N284" s="17" t="s">
        <v>309</v>
      </c>
      <c r="O284" s="36"/>
      <c r="P284" s="17"/>
      <c r="Q284" s="17"/>
      <c r="U284" t="s">
        <v>310</v>
      </c>
      <c r="V284" t="s">
        <v>310</v>
      </c>
      <c r="X284" s="31">
        <v>43987</v>
      </c>
      <c r="Y284" s="31">
        <v>43987</v>
      </c>
      <c r="AA284" s="31"/>
      <c r="AB284" t="s">
        <v>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1</v>
      </c>
      <c r="AI284">
        <v>52050</v>
      </c>
      <c r="AJ284">
        <v>2111</v>
      </c>
      <c r="AK284">
        <v>0</v>
      </c>
      <c r="AL284">
        <v>19</v>
      </c>
      <c r="AO284" s="41"/>
      <c r="AP284" s="41"/>
      <c r="AQ284" t="str">
        <f t="shared" si="8"/>
        <v/>
      </c>
      <c r="AS284" t="str">
        <f t="shared" si="9"/>
        <v>wci_corp</v>
      </c>
    </row>
    <row r="285" spans="2:45" x14ac:dyDescent="0.2">
      <c r="B285" t="s">
        <v>164</v>
      </c>
      <c r="C285" s="31">
        <v>43982</v>
      </c>
      <c r="D285" s="15">
        <v>-571.44000000000005</v>
      </c>
      <c r="E285" s="15">
        <v>0</v>
      </c>
      <c r="F285" s="53" t="s">
        <v>134</v>
      </c>
      <c r="G285" t="s">
        <v>307</v>
      </c>
      <c r="H285" s="41" t="s">
        <v>136</v>
      </c>
      <c r="I285" t="s">
        <v>308</v>
      </c>
      <c r="J285" t="s">
        <v>138</v>
      </c>
      <c r="K285" t="s">
        <v>139</v>
      </c>
      <c r="L285" s="17"/>
      <c r="M285" s="17"/>
      <c r="N285" s="17" t="s">
        <v>309</v>
      </c>
      <c r="O285" s="36"/>
      <c r="P285" s="17"/>
      <c r="Q285" s="17"/>
      <c r="U285" t="s">
        <v>310</v>
      </c>
      <c r="V285" t="s">
        <v>310</v>
      </c>
      <c r="X285" s="31">
        <v>43987</v>
      </c>
      <c r="Y285" s="31">
        <v>43987</v>
      </c>
      <c r="AA285" s="31"/>
      <c r="AB285" t="s">
        <v>9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1</v>
      </c>
      <c r="AI285">
        <v>55036</v>
      </c>
      <c r="AJ285">
        <v>2111</v>
      </c>
      <c r="AK285">
        <v>0</v>
      </c>
      <c r="AL285">
        <v>19</v>
      </c>
      <c r="AO285" s="41"/>
      <c r="AP285" s="41"/>
      <c r="AQ285" t="str">
        <f t="shared" si="8"/>
        <v/>
      </c>
      <c r="AS285" t="str">
        <f t="shared" si="9"/>
        <v>wci_corp</v>
      </c>
    </row>
    <row r="286" spans="2:45" x14ac:dyDescent="0.2">
      <c r="B286" t="s">
        <v>165</v>
      </c>
      <c r="C286" s="31">
        <v>43982</v>
      </c>
      <c r="D286" s="15">
        <v>-43.72</v>
      </c>
      <c r="E286" s="15">
        <v>0</v>
      </c>
      <c r="F286" s="53" t="s">
        <v>134</v>
      </c>
      <c r="G286" t="s">
        <v>307</v>
      </c>
      <c r="H286" s="41" t="s">
        <v>136</v>
      </c>
      <c r="I286" t="s">
        <v>308</v>
      </c>
      <c r="J286" t="s">
        <v>138</v>
      </c>
      <c r="K286" t="s">
        <v>139</v>
      </c>
      <c r="L286" s="17"/>
      <c r="M286" s="17"/>
      <c r="N286" s="17" t="s">
        <v>309</v>
      </c>
      <c r="O286" s="36"/>
      <c r="P286" s="17"/>
      <c r="Q286" s="17"/>
      <c r="U286" t="s">
        <v>310</v>
      </c>
      <c r="V286" t="s">
        <v>310</v>
      </c>
      <c r="X286" s="31">
        <v>43987</v>
      </c>
      <c r="Y286" s="31">
        <v>43987</v>
      </c>
      <c r="AA286" s="31"/>
      <c r="AB286" t="s">
        <v>9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1</v>
      </c>
      <c r="AI286">
        <v>55050</v>
      </c>
      <c r="AJ286">
        <v>2111</v>
      </c>
      <c r="AK286">
        <v>0</v>
      </c>
      <c r="AL286">
        <v>19</v>
      </c>
      <c r="AO286" s="41"/>
      <c r="AP286" s="41"/>
      <c r="AQ286" t="str">
        <f t="shared" si="8"/>
        <v/>
      </c>
      <c r="AS286" t="str">
        <f t="shared" si="9"/>
        <v>wci_corp</v>
      </c>
    </row>
    <row r="287" spans="2:45" x14ac:dyDescent="0.2">
      <c r="B287" t="s">
        <v>166</v>
      </c>
      <c r="C287" s="31">
        <v>43982</v>
      </c>
      <c r="D287" s="15">
        <v>-750</v>
      </c>
      <c r="E287" s="15">
        <v>0</v>
      </c>
      <c r="F287" s="53" t="s">
        <v>134</v>
      </c>
      <c r="G287" t="s">
        <v>307</v>
      </c>
      <c r="H287" s="41" t="s">
        <v>136</v>
      </c>
      <c r="I287" t="s">
        <v>308</v>
      </c>
      <c r="J287" t="s">
        <v>138</v>
      </c>
      <c r="K287" t="s">
        <v>139</v>
      </c>
      <c r="L287" s="17"/>
      <c r="M287" s="17"/>
      <c r="N287" s="17" t="s">
        <v>309</v>
      </c>
      <c r="O287" s="36"/>
      <c r="P287" s="17"/>
      <c r="Q287" s="17"/>
      <c r="U287" t="s">
        <v>310</v>
      </c>
      <c r="V287" t="s">
        <v>310</v>
      </c>
      <c r="X287" s="31">
        <v>43987</v>
      </c>
      <c r="Y287" s="31">
        <v>43987</v>
      </c>
      <c r="AA287" s="31"/>
      <c r="AB287" t="s">
        <v>9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1</v>
      </c>
      <c r="AI287">
        <v>56036</v>
      </c>
      <c r="AJ287">
        <v>2111</v>
      </c>
      <c r="AK287">
        <v>0</v>
      </c>
      <c r="AL287">
        <v>19</v>
      </c>
      <c r="AO287" s="41"/>
      <c r="AP287" s="41"/>
      <c r="AQ287" t="str">
        <f t="shared" si="8"/>
        <v/>
      </c>
      <c r="AS287" t="str">
        <f t="shared" si="9"/>
        <v>wci_corp</v>
      </c>
    </row>
    <row r="288" spans="2:45" x14ac:dyDescent="0.2">
      <c r="B288" t="s">
        <v>167</v>
      </c>
      <c r="C288" s="31">
        <v>43982</v>
      </c>
      <c r="D288" s="15">
        <v>-57.38</v>
      </c>
      <c r="E288" s="15">
        <v>0</v>
      </c>
      <c r="F288" s="53" t="s">
        <v>134</v>
      </c>
      <c r="G288" t="s">
        <v>307</v>
      </c>
      <c r="H288" s="41" t="s">
        <v>136</v>
      </c>
      <c r="I288" t="s">
        <v>308</v>
      </c>
      <c r="J288" t="s">
        <v>138</v>
      </c>
      <c r="K288" t="s">
        <v>139</v>
      </c>
      <c r="L288" s="17"/>
      <c r="M288" s="17"/>
      <c r="N288" s="17" t="s">
        <v>309</v>
      </c>
      <c r="O288" s="36"/>
      <c r="P288" s="17"/>
      <c r="Q288" s="17"/>
      <c r="U288" t="s">
        <v>310</v>
      </c>
      <c r="V288" t="s">
        <v>310</v>
      </c>
      <c r="X288" s="31">
        <v>43987</v>
      </c>
      <c r="Y288" s="31">
        <v>43987</v>
      </c>
      <c r="AA288" s="31"/>
      <c r="AB288" t="s">
        <v>9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1</v>
      </c>
      <c r="AI288">
        <v>56050</v>
      </c>
      <c r="AJ288">
        <v>2111</v>
      </c>
      <c r="AK288">
        <v>0</v>
      </c>
      <c r="AL288">
        <v>19</v>
      </c>
      <c r="AO288" s="41"/>
      <c r="AP288" s="41"/>
      <c r="AQ288" t="str">
        <f t="shared" si="8"/>
        <v/>
      </c>
      <c r="AS288" t="str">
        <f t="shared" si="9"/>
        <v>wci_corp</v>
      </c>
    </row>
    <row r="289" spans="2:45" x14ac:dyDescent="0.2">
      <c r="B289" t="s">
        <v>168</v>
      </c>
      <c r="C289" s="31">
        <v>43982</v>
      </c>
      <c r="D289" s="15">
        <v>-2060</v>
      </c>
      <c r="E289" s="15">
        <v>0</v>
      </c>
      <c r="F289" s="53" t="s">
        <v>134</v>
      </c>
      <c r="G289" t="s">
        <v>307</v>
      </c>
      <c r="H289" s="41" t="s">
        <v>136</v>
      </c>
      <c r="I289" t="s">
        <v>308</v>
      </c>
      <c r="J289" t="s">
        <v>138</v>
      </c>
      <c r="K289" t="s">
        <v>139</v>
      </c>
      <c r="L289" s="17"/>
      <c r="M289" s="17"/>
      <c r="N289" s="17" t="s">
        <v>309</v>
      </c>
      <c r="O289" s="36"/>
      <c r="P289" s="17"/>
      <c r="Q289" s="17"/>
      <c r="U289" t="s">
        <v>310</v>
      </c>
      <c r="V289" t="s">
        <v>310</v>
      </c>
      <c r="X289" s="31">
        <v>43987</v>
      </c>
      <c r="Y289" s="31">
        <v>43987</v>
      </c>
      <c r="AA289" s="31"/>
      <c r="AB289" t="s">
        <v>9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1</v>
      </c>
      <c r="AI289">
        <v>70036</v>
      </c>
      <c r="AJ289">
        <v>2111</v>
      </c>
      <c r="AK289">
        <v>0</v>
      </c>
      <c r="AL289">
        <v>19</v>
      </c>
      <c r="AO289" s="41"/>
      <c r="AP289" s="41"/>
      <c r="AQ289" t="str">
        <f t="shared" si="8"/>
        <v/>
      </c>
      <c r="AS289" t="str">
        <f t="shared" si="9"/>
        <v>wci_corp</v>
      </c>
    </row>
    <row r="290" spans="2:45" x14ac:dyDescent="0.2">
      <c r="B290" t="s">
        <v>169</v>
      </c>
      <c r="C290" s="31">
        <v>43982</v>
      </c>
      <c r="D290" s="15">
        <v>-157.59</v>
      </c>
      <c r="E290" s="15">
        <v>0</v>
      </c>
      <c r="F290" s="53" t="s">
        <v>134</v>
      </c>
      <c r="G290" t="s">
        <v>307</v>
      </c>
      <c r="H290" s="41" t="s">
        <v>136</v>
      </c>
      <c r="I290" t="s">
        <v>308</v>
      </c>
      <c r="J290" t="s">
        <v>138</v>
      </c>
      <c r="K290" t="s">
        <v>139</v>
      </c>
      <c r="L290" s="17"/>
      <c r="M290" s="17"/>
      <c r="N290" s="17" t="s">
        <v>309</v>
      </c>
      <c r="O290" s="36"/>
      <c r="P290" s="17"/>
      <c r="Q290" s="17"/>
      <c r="U290" t="s">
        <v>310</v>
      </c>
      <c r="V290" t="s">
        <v>310</v>
      </c>
      <c r="X290" s="31">
        <v>43987</v>
      </c>
      <c r="Y290" s="31">
        <v>43987</v>
      </c>
      <c r="AA290" s="31"/>
      <c r="AB290" t="s">
        <v>9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1</v>
      </c>
      <c r="AI290">
        <v>70050</v>
      </c>
      <c r="AJ290">
        <v>2111</v>
      </c>
      <c r="AK290">
        <v>0</v>
      </c>
      <c r="AL290">
        <v>19</v>
      </c>
      <c r="AO290" s="41"/>
      <c r="AP290" s="41"/>
      <c r="AQ290" t="str">
        <f t="shared" si="8"/>
        <v/>
      </c>
      <c r="AS290" t="str">
        <f t="shared" si="9"/>
        <v>wci_corp</v>
      </c>
    </row>
    <row r="291" spans="2:45" x14ac:dyDescent="0.2">
      <c r="B291" t="s">
        <v>170</v>
      </c>
      <c r="C291" s="31">
        <v>44012</v>
      </c>
      <c r="D291" s="15">
        <v>-455.85</v>
      </c>
      <c r="E291" s="15">
        <v>0</v>
      </c>
      <c r="F291" s="53" t="s">
        <v>134</v>
      </c>
      <c r="G291" t="s">
        <v>311</v>
      </c>
      <c r="H291" s="41" t="s">
        <v>136</v>
      </c>
      <c r="I291" t="s">
        <v>283</v>
      </c>
      <c r="J291" t="s">
        <v>138</v>
      </c>
      <c r="K291" t="s">
        <v>139</v>
      </c>
      <c r="L291" s="17"/>
      <c r="M291" s="17"/>
      <c r="N291" s="17" t="s">
        <v>284</v>
      </c>
      <c r="O291" s="36"/>
      <c r="P291" s="17"/>
      <c r="Q291" s="17"/>
      <c r="U291" t="s">
        <v>285</v>
      </c>
      <c r="V291" t="s">
        <v>312</v>
      </c>
      <c r="X291" s="31">
        <v>43986</v>
      </c>
      <c r="Y291" s="31">
        <v>43986</v>
      </c>
      <c r="AA291" s="31"/>
      <c r="AB291" t="s">
        <v>9</v>
      </c>
      <c r="AC291">
        <v>0</v>
      </c>
      <c r="AD291">
        <v>0</v>
      </c>
      <c r="AE291">
        <v>0</v>
      </c>
      <c r="AF291">
        <v>0</v>
      </c>
      <c r="AG291">
        <v>5</v>
      </c>
      <c r="AH291">
        <v>1</v>
      </c>
      <c r="AI291">
        <v>50086</v>
      </c>
      <c r="AJ291">
        <v>2111</v>
      </c>
      <c r="AK291">
        <v>0</v>
      </c>
      <c r="AL291">
        <v>19</v>
      </c>
      <c r="AO291" s="41"/>
      <c r="AP291" s="41"/>
      <c r="AQ291" t="str">
        <f t="shared" si="8"/>
        <v/>
      </c>
      <c r="AS291" t="str">
        <f t="shared" si="9"/>
        <v>wci_corp</v>
      </c>
    </row>
    <row r="292" spans="2:45" x14ac:dyDescent="0.2">
      <c r="B292" t="s">
        <v>156</v>
      </c>
      <c r="C292" s="31">
        <v>44012</v>
      </c>
      <c r="D292" s="15">
        <v>-12781.42</v>
      </c>
      <c r="E292" s="15">
        <v>0</v>
      </c>
      <c r="F292" s="53" t="s">
        <v>134</v>
      </c>
      <c r="G292" t="s">
        <v>313</v>
      </c>
      <c r="H292" s="41" t="s">
        <v>136</v>
      </c>
      <c r="I292" t="s">
        <v>304</v>
      </c>
      <c r="J292" t="s">
        <v>138</v>
      </c>
      <c r="K292" t="s">
        <v>139</v>
      </c>
      <c r="L292" s="17"/>
      <c r="M292" s="17"/>
      <c r="N292" s="17" t="s">
        <v>305</v>
      </c>
      <c r="O292" s="36"/>
      <c r="P292" s="17"/>
      <c r="Q292" s="17"/>
      <c r="U292" t="s">
        <v>306</v>
      </c>
      <c r="V292" t="s">
        <v>314</v>
      </c>
      <c r="X292" s="31">
        <v>43986</v>
      </c>
      <c r="Y292" s="31">
        <v>43986</v>
      </c>
      <c r="AA292" s="31"/>
      <c r="AB292" t="s">
        <v>9</v>
      </c>
      <c r="AC292">
        <v>0</v>
      </c>
      <c r="AD292">
        <v>0</v>
      </c>
      <c r="AE292">
        <v>0</v>
      </c>
      <c r="AF292">
        <v>0</v>
      </c>
      <c r="AG292">
        <v>5</v>
      </c>
      <c r="AH292">
        <v>1</v>
      </c>
      <c r="AI292">
        <v>50036</v>
      </c>
      <c r="AJ292">
        <v>2111</v>
      </c>
      <c r="AK292">
        <v>0</v>
      </c>
      <c r="AL292">
        <v>19</v>
      </c>
      <c r="AO292" s="41"/>
      <c r="AP292" s="41"/>
      <c r="AQ292" t="str">
        <f t="shared" si="8"/>
        <v/>
      </c>
      <c r="AS292" t="str">
        <f t="shared" si="9"/>
        <v>wci_corp</v>
      </c>
    </row>
    <row r="293" spans="2:45" x14ac:dyDescent="0.2">
      <c r="B293" t="s">
        <v>161</v>
      </c>
      <c r="C293" s="31">
        <v>44012</v>
      </c>
      <c r="D293" s="15">
        <v>-977.78</v>
      </c>
      <c r="E293" s="15">
        <v>0</v>
      </c>
      <c r="F293" s="53" t="s">
        <v>134</v>
      </c>
      <c r="G293" t="s">
        <v>313</v>
      </c>
      <c r="H293" s="41" t="s">
        <v>136</v>
      </c>
      <c r="I293" t="s">
        <v>304</v>
      </c>
      <c r="J293" t="s">
        <v>138</v>
      </c>
      <c r="K293" t="s">
        <v>139</v>
      </c>
      <c r="L293" s="17"/>
      <c r="M293" s="17"/>
      <c r="N293" s="17" t="s">
        <v>305</v>
      </c>
      <c r="O293" s="36"/>
      <c r="P293" s="17"/>
      <c r="Q293" s="17"/>
      <c r="U293" t="s">
        <v>306</v>
      </c>
      <c r="V293" t="s">
        <v>314</v>
      </c>
      <c r="X293" s="31">
        <v>43986</v>
      </c>
      <c r="Y293" s="31">
        <v>43986</v>
      </c>
      <c r="AA293" s="31"/>
      <c r="AB293" t="s">
        <v>9</v>
      </c>
      <c r="AC293">
        <v>0</v>
      </c>
      <c r="AD293">
        <v>0</v>
      </c>
      <c r="AE293">
        <v>0</v>
      </c>
      <c r="AF293">
        <v>0</v>
      </c>
      <c r="AG293">
        <v>5</v>
      </c>
      <c r="AH293">
        <v>1</v>
      </c>
      <c r="AI293">
        <v>50050</v>
      </c>
      <c r="AJ293">
        <v>2111</v>
      </c>
      <c r="AK293">
        <v>0</v>
      </c>
      <c r="AL293">
        <v>19</v>
      </c>
      <c r="AO293" s="41"/>
      <c r="AP293" s="41"/>
      <c r="AQ293" t="str">
        <f t="shared" si="8"/>
        <v/>
      </c>
      <c r="AS293" t="str">
        <f t="shared" si="9"/>
        <v>wci_corp</v>
      </c>
    </row>
    <row r="294" spans="2:45" x14ac:dyDescent="0.2">
      <c r="B294" t="s">
        <v>162</v>
      </c>
      <c r="C294" s="31">
        <v>44012</v>
      </c>
      <c r="D294" s="15">
        <v>-2216.92</v>
      </c>
      <c r="E294" s="15">
        <v>0</v>
      </c>
      <c r="F294" s="53" t="s">
        <v>134</v>
      </c>
      <c r="G294" t="s">
        <v>313</v>
      </c>
      <c r="H294" s="41" t="s">
        <v>136</v>
      </c>
      <c r="I294" t="s">
        <v>304</v>
      </c>
      <c r="J294" t="s">
        <v>138</v>
      </c>
      <c r="K294" t="s">
        <v>139</v>
      </c>
      <c r="L294" s="17"/>
      <c r="M294" s="17"/>
      <c r="N294" s="17" t="s">
        <v>305</v>
      </c>
      <c r="O294" s="36"/>
      <c r="P294" s="17"/>
      <c r="Q294" s="17"/>
      <c r="U294" t="s">
        <v>306</v>
      </c>
      <c r="V294" t="s">
        <v>314</v>
      </c>
      <c r="X294" s="31">
        <v>43986</v>
      </c>
      <c r="Y294" s="31">
        <v>43986</v>
      </c>
      <c r="AA294" s="31"/>
      <c r="AB294" t="s">
        <v>9</v>
      </c>
      <c r="AC294">
        <v>0</v>
      </c>
      <c r="AD294">
        <v>0</v>
      </c>
      <c r="AE294">
        <v>0</v>
      </c>
      <c r="AF294">
        <v>0</v>
      </c>
      <c r="AG294">
        <v>5</v>
      </c>
      <c r="AH294">
        <v>1</v>
      </c>
      <c r="AI294">
        <v>52036</v>
      </c>
      <c r="AJ294">
        <v>2111</v>
      </c>
      <c r="AK294">
        <v>0</v>
      </c>
      <c r="AL294">
        <v>19</v>
      </c>
      <c r="AO294" s="41"/>
      <c r="AP294" s="41"/>
      <c r="AQ294" t="str">
        <f t="shared" si="8"/>
        <v/>
      </c>
      <c r="AS294" t="str">
        <f t="shared" si="9"/>
        <v>wci_corp</v>
      </c>
    </row>
    <row r="295" spans="2:45" x14ac:dyDescent="0.2">
      <c r="B295" t="s">
        <v>163</v>
      </c>
      <c r="C295" s="31">
        <v>44012</v>
      </c>
      <c r="D295" s="15">
        <v>-169.59</v>
      </c>
      <c r="E295" s="15">
        <v>0</v>
      </c>
      <c r="F295" s="53" t="s">
        <v>134</v>
      </c>
      <c r="G295" t="s">
        <v>313</v>
      </c>
      <c r="H295" s="41" t="s">
        <v>136</v>
      </c>
      <c r="I295" t="s">
        <v>304</v>
      </c>
      <c r="J295" t="s">
        <v>138</v>
      </c>
      <c r="K295" t="s">
        <v>139</v>
      </c>
      <c r="L295" s="17"/>
      <c r="M295" s="17"/>
      <c r="N295" s="17" t="s">
        <v>305</v>
      </c>
      <c r="O295" s="36"/>
      <c r="P295" s="17"/>
      <c r="Q295" s="17"/>
      <c r="U295" t="s">
        <v>306</v>
      </c>
      <c r="V295" t="s">
        <v>314</v>
      </c>
      <c r="X295" s="31">
        <v>43986</v>
      </c>
      <c r="Y295" s="31">
        <v>43986</v>
      </c>
      <c r="AA295" s="31"/>
      <c r="AB295" t="s">
        <v>9</v>
      </c>
      <c r="AC295">
        <v>0</v>
      </c>
      <c r="AD295">
        <v>0</v>
      </c>
      <c r="AE295">
        <v>0</v>
      </c>
      <c r="AF295">
        <v>0</v>
      </c>
      <c r="AG295">
        <v>5</v>
      </c>
      <c r="AH295">
        <v>1</v>
      </c>
      <c r="AI295">
        <v>52050</v>
      </c>
      <c r="AJ295">
        <v>2111</v>
      </c>
      <c r="AK295">
        <v>0</v>
      </c>
      <c r="AL295">
        <v>19</v>
      </c>
      <c r="AO295" s="41"/>
      <c r="AP295" s="41"/>
      <c r="AQ295" t="str">
        <f t="shared" si="8"/>
        <v/>
      </c>
      <c r="AS295" t="str">
        <f t="shared" si="9"/>
        <v>wci_corp</v>
      </c>
    </row>
    <row r="296" spans="2:45" x14ac:dyDescent="0.2">
      <c r="B296" t="s">
        <v>164</v>
      </c>
      <c r="C296" s="31">
        <v>44012</v>
      </c>
      <c r="D296" s="15">
        <v>-571.44000000000005</v>
      </c>
      <c r="E296" s="15">
        <v>0</v>
      </c>
      <c r="F296" s="53" t="s">
        <v>134</v>
      </c>
      <c r="G296" t="s">
        <v>313</v>
      </c>
      <c r="H296" s="41" t="s">
        <v>136</v>
      </c>
      <c r="I296" t="s">
        <v>304</v>
      </c>
      <c r="J296" t="s">
        <v>138</v>
      </c>
      <c r="K296" t="s">
        <v>139</v>
      </c>
      <c r="L296" s="17"/>
      <c r="M296" s="17"/>
      <c r="N296" s="17" t="s">
        <v>305</v>
      </c>
      <c r="O296" s="36"/>
      <c r="P296" s="17"/>
      <c r="Q296" s="17"/>
      <c r="U296" t="s">
        <v>306</v>
      </c>
      <c r="V296" t="s">
        <v>314</v>
      </c>
      <c r="X296" s="31">
        <v>43986</v>
      </c>
      <c r="Y296" s="31">
        <v>43986</v>
      </c>
      <c r="AA296" s="31"/>
      <c r="AB296" t="s">
        <v>9</v>
      </c>
      <c r="AC296">
        <v>0</v>
      </c>
      <c r="AD296">
        <v>0</v>
      </c>
      <c r="AE296">
        <v>0</v>
      </c>
      <c r="AF296">
        <v>0</v>
      </c>
      <c r="AG296">
        <v>5</v>
      </c>
      <c r="AH296">
        <v>1</v>
      </c>
      <c r="AI296">
        <v>55036</v>
      </c>
      <c r="AJ296">
        <v>2111</v>
      </c>
      <c r="AK296">
        <v>0</v>
      </c>
      <c r="AL296">
        <v>19</v>
      </c>
      <c r="AO296" s="41"/>
      <c r="AP296" s="41"/>
      <c r="AQ296" t="str">
        <f t="shared" si="8"/>
        <v/>
      </c>
      <c r="AS296" t="str">
        <f t="shared" si="9"/>
        <v>wci_corp</v>
      </c>
    </row>
    <row r="297" spans="2:45" x14ac:dyDescent="0.2">
      <c r="B297" t="s">
        <v>165</v>
      </c>
      <c r="C297" s="31">
        <v>44012</v>
      </c>
      <c r="D297" s="15">
        <v>-43.72</v>
      </c>
      <c r="E297" s="15">
        <v>0</v>
      </c>
      <c r="F297" s="53" t="s">
        <v>134</v>
      </c>
      <c r="G297" t="s">
        <v>313</v>
      </c>
      <c r="H297" s="41" t="s">
        <v>136</v>
      </c>
      <c r="I297" t="s">
        <v>304</v>
      </c>
      <c r="J297" t="s">
        <v>138</v>
      </c>
      <c r="K297" t="s">
        <v>139</v>
      </c>
      <c r="L297" s="17"/>
      <c r="M297" s="17"/>
      <c r="N297" s="17" t="s">
        <v>305</v>
      </c>
      <c r="O297" s="36"/>
      <c r="P297" s="17"/>
      <c r="Q297" s="17"/>
      <c r="U297" t="s">
        <v>306</v>
      </c>
      <c r="V297" t="s">
        <v>314</v>
      </c>
      <c r="X297" s="31">
        <v>43986</v>
      </c>
      <c r="Y297" s="31">
        <v>43986</v>
      </c>
      <c r="AA297" s="31"/>
      <c r="AB297" t="s">
        <v>9</v>
      </c>
      <c r="AC297">
        <v>0</v>
      </c>
      <c r="AD297">
        <v>0</v>
      </c>
      <c r="AE297">
        <v>0</v>
      </c>
      <c r="AF297">
        <v>0</v>
      </c>
      <c r="AG297">
        <v>5</v>
      </c>
      <c r="AH297">
        <v>1</v>
      </c>
      <c r="AI297">
        <v>55050</v>
      </c>
      <c r="AJ297">
        <v>2111</v>
      </c>
      <c r="AK297">
        <v>0</v>
      </c>
      <c r="AL297">
        <v>19</v>
      </c>
      <c r="AO297" s="41"/>
      <c r="AP297" s="41"/>
      <c r="AQ297" t="str">
        <f t="shared" si="8"/>
        <v/>
      </c>
      <c r="AS297" t="str">
        <f t="shared" si="9"/>
        <v>wci_corp</v>
      </c>
    </row>
    <row r="298" spans="2:45" x14ac:dyDescent="0.2">
      <c r="B298" t="s">
        <v>166</v>
      </c>
      <c r="C298" s="31">
        <v>44012</v>
      </c>
      <c r="D298" s="15">
        <v>-750</v>
      </c>
      <c r="E298" s="15">
        <v>0</v>
      </c>
      <c r="F298" s="53" t="s">
        <v>134</v>
      </c>
      <c r="G298" t="s">
        <v>313</v>
      </c>
      <c r="H298" s="41" t="s">
        <v>136</v>
      </c>
      <c r="I298" t="s">
        <v>304</v>
      </c>
      <c r="J298" t="s">
        <v>138</v>
      </c>
      <c r="K298" t="s">
        <v>139</v>
      </c>
      <c r="L298" s="17"/>
      <c r="M298" s="17"/>
      <c r="N298" s="17" t="s">
        <v>305</v>
      </c>
      <c r="O298" s="36"/>
      <c r="P298" s="17"/>
      <c r="Q298" s="17"/>
      <c r="U298" t="s">
        <v>306</v>
      </c>
      <c r="V298" t="s">
        <v>314</v>
      </c>
      <c r="X298" s="31">
        <v>43986</v>
      </c>
      <c r="Y298" s="31">
        <v>43986</v>
      </c>
      <c r="AA298" s="31"/>
      <c r="AB298" t="s">
        <v>9</v>
      </c>
      <c r="AC298">
        <v>0</v>
      </c>
      <c r="AD298">
        <v>0</v>
      </c>
      <c r="AE298">
        <v>0</v>
      </c>
      <c r="AF298">
        <v>0</v>
      </c>
      <c r="AG298">
        <v>5</v>
      </c>
      <c r="AH298">
        <v>1</v>
      </c>
      <c r="AI298">
        <v>56036</v>
      </c>
      <c r="AJ298">
        <v>2111</v>
      </c>
      <c r="AK298">
        <v>0</v>
      </c>
      <c r="AL298">
        <v>19</v>
      </c>
      <c r="AO298" s="41"/>
      <c r="AP298" s="41"/>
      <c r="AQ298" t="str">
        <f t="shared" si="8"/>
        <v/>
      </c>
      <c r="AS298" t="str">
        <f t="shared" si="9"/>
        <v>wci_corp</v>
      </c>
    </row>
    <row r="299" spans="2:45" x14ac:dyDescent="0.2">
      <c r="B299" t="s">
        <v>167</v>
      </c>
      <c r="C299" s="31">
        <v>44012</v>
      </c>
      <c r="D299" s="15">
        <v>-57.38</v>
      </c>
      <c r="E299" s="15">
        <v>0</v>
      </c>
      <c r="F299" s="53" t="s">
        <v>134</v>
      </c>
      <c r="G299" t="s">
        <v>313</v>
      </c>
      <c r="H299" s="41" t="s">
        <v>136</v>
      </c>
      <c r="I299" t="s">
        <v>304</v>
      </c>
      <c r="J299" t="s">
        <v>138</v>
      </c>
      <c r="K299" t="s">
        <v>139</v>
      </c>
      <c r="L299" s="17"/>
      <c r="M299" s="17"/>
      <c r="N299" s="17" t="s">
        <v>305</v>
      </c>
      <c r="O299" s="36"/>
      <c r="P299" s="17"/>
      <c r="Q299" s="17"/>
      <c r="U299" t="s">
        <v>306</v>
      </c>
      <c r="V299" t="s">
        <v>314</v>
      </c>
      <c r="X299" s="31">
        <v>43986</v>
      </c>
      <c r="Y299" s="31">
        <v>43986</v>
      </c>
      <c r="AA299" s="31"/>
      <c r="AB299" t="s">
        <v>9</v>
      </c>
      <c r="AC299">
        <v>0</v>
      </c>
      <c r="AD299">
        <v>0</v>
      </c>
      <c r="AE299">
        <v>0</v>
      </c>
      <c r="AF299">
        <v>0</v>
      </c>
      <c r="AG299">
        <v>5</v>
      </c>
      <c r="AH299">
        <v>1</v>
      </c>
      <c r="AI299">
        <v>56050</v>
      </c>
      <c r="AJ299">
        <v>2111</v>
      </c>
      <c r="AK299">
        <v>0</v>
      </c>
      <c r="AL299">
        <v>19</v>
      </c>
      <c r="AO299" s="41"/>
      <c r="AP299" s="41"/>
      <c r="AQ299" t="str">
        <f t="shared" si="8"/>
        <v/>
      </c>
      <c r="AS299" t="str">
        <f t="shared" si="9"/>
        <v>wci_corp</v>
      </c>
    </row>
    <row r="300" spans="2:45" x14ac:dyDescent="0.2">
      <c r="B300" t="s">
        <v>168</v>
      </c>
      <c r="C300" s="31">
        <v>44012</v>
      </c>
      <c r="D300" s="15">
        <v>-2060</v>
      </c>
      <c r="E300" s="15">
        <v>0</v>
      </c>
      <c r="F300" s="53" t="s">
        <v>134</v>
      </c>
      <c r="G300" t="s">
        <v>313</v>
      </c>
      <c r="H300" s="41" t="s">
        <v>136</v>
      </c>
      <c r="I300" t="s">
        <v>304</v>
      </c>
      <c r="J300" t="s">
        <v>138</v>
      </c>
      <c r="K300" t="s">
        <v>139</v>
      </c>
      <c r="L300" s="17"/>
      <c r="M300" s="17"/>
      <c r="N300" s="17" t="s">
        <v>305</v>
      </c>
      <c r="O300" s="36"/>
      <c r="P300" s="17"/>
      <c r="Q300" s="17"/>
      <c r="U300" t="s">
        <v>306</v>
      </c>
      <c r="V300" t="s">
        <v>314</v>
      </c>
      <c r="X300" s="31">
        <v>43986</v>
      </c>
      <c r="Y300" s="31">
        <v>43986</v>
      </c>
      <c r="AA300" s="31"/>
      <c r="AB300" t="s">
        <v>9</v>
      </c>
      <c r="AC300">
        <v>0</v>
      </c>
      <c r="AD300">
        <v>0</v>
      </c>
      <c r="AE300">
        <v>0</v>
      </c>
      <c r="AF300">
        <v>0</v>
      </c>
      <c r="AG300">
        <v>5</v>
      </c>
      <c r="AH300">
        <v>1</v>
      </c>
      <c r="AI300">
        <v>70036</v>
      </c>
      <c r="AJ300">
        <v>2111</v>
      </c>
      <c r="AK300">
        <v>0</v>
      </c>
      <c r="AL300">
        <v>19</v>
      </c>
      <c r="AO300" s="41"/>
      <c r="AP300" s="41"/>
      <c r="AQ300" t="str">
        <f t="shared" si="8"/>
        <v/>
      </c>
      <c r="AS300" t="str">
        <f t="shared" si="9"/>
        <v>wci_corp</v>
      </c>
    </row>
    <row r="301" spans="2:45" x14ac:dyDescent="0.2">
      <c r="B301" t="s">
        <v>169</v>
      </c>
      <c r="C301" s="31">
        <v>44012</v>
      </c>
      <c r="D301" s="15">
        <v>-157.59</v>
      </c>
      <c r="E301" s="15">
        <v>0</v>
      </c>
      <c r="F301" s="53" t="s">
        <v>134</v>
      </c>
      <c r="G301" t="s">
        <v>313</v>
      </c>
      <c r="H301" s="41" t="s">
        <v>136</v>
      </c>
      <c r="I301" t="s">
        <v>304</v>
      </c>
      <c r="J301" t="s">
        <v>138</v>
      </c>
      <c r="K301" t="s">
        <v>139</v>
      </c>
      <c r="L301" s="17"/>
      <c r="M301" s="17"/>
      <c r="N301" s="17" t="s">
        <v>305</v>
      </c>
      <c r="O301" s="36"/>
      <c r="P301" s="17"/>
      <c r="Q301" s="17"/>
      <c r="U301" t="s">
        <v>306</v>
      </c>
      <c r="V301" t="s">
        <v>314</v>
      </c>
      <c r="X301" s="31">
        <v>43986</v>
      </c>
      <c r="Y301" s="31">
        <v>43986</v>
      </c>
      <c r="AA301" s="31"/>
      <c r="AB301" t="s">
        <v>9</v>
      </c>
      <c r="AC301">
        <v>0</v>
      </c>
      <c r="AD301">
        <v>0</v>
      </c>
      <c r="AE301">
        <v>0</v>
      </c>
      <c r="AF301">
        <v>0</v>
      </c>
      <c r="AG301">
        <v>5</v>
      </c>
      <c r="AH301">
        <v>1</v>
      </c>
      <c r="AI301">
        <v>70050</v>
      </c>
      <c r="AJ301">
        <v>2111</v>
      </c>
      <c r="AK301">
        <v>0</v>
      </c>
      <c r="AL301">
        <v>19</v>
      </c>
      <c r="AO301" s="41"/>
      <c r="AP301" s="41"/>
      <c r="AQ301" t="str">
        <f t="shared" si="8"/>
        <v/>
      </c>
      <c r="AS301" t="str">
        <f t="shared" si="9"/>
        <v>wci_corp</v>
      </c>
    </row>
    <row r="302" spans="2:45" x14ac:dyDescent="0.2">
      <c r="B302" t="s">
        <v>156</v>
      </c>
      <c r="C302" s="31">
        <v>44012</v>
      </c>
      <c r="D302" s="15">
        <v>12781.42</v>
      </c>
      <c r="E302" s="15">
        <v>0</v>
      </c>
      <c r="F302" s="53" t="s">
        <v>134</v>
      </c>
      <c r="G302" t="s">
        <v>315</v>
      </c>
      <c r="H302" s="41" t="s">
        <v>136</v>
      </c>
      <c r="I302" t="s">
        <v>308</v>
      </c>
      <c r="J302" t="s">
        <v>138</v>
      </c>
      <c r="K302" t="s">
        <v>139</v>
      </c>
      <c r="L302" s="17"/>
      <c r="M302" s="17"/>
      <c r="N302" s="17" t="s">
        <v>309</v>
      </c>
      <c r="O302" s="36"/>
      <c r="P302" s="17"/>
      <c r="Q302" s="17"/>
      <c r="U302" t="s">
        <v>310</v>
      </c>
      <c r="V302" t="s">
        <v>316</v>
      </c>
      <c r="X302" s="31">
        <v>43987</v>
      </c>
      <c r="Y302" s="31">
        <v>43987</v>
      </c>
      <c r="AA302" s="31"/>
      <c r="AB302" t="s">
        <v>9</v>
      </c>
      <c r="AC302">
        <v>0</v>
      </c>
      <c r="AD302">
        <v>0</v>
      </c>
      <c r="AE302">
        <v>0</v>
      </c>
      <c r="AF302">
        <v>0</v>
      </c>
      <c r="AG302">
        <v>5</v>
      </c>
      <c r="AH302">
        <v>1</v>
      </c>
      <c r="AI302">
        <v>50036</v>
      </c>
      <c r="AJ302">
        <v>2111</v>
      </c>
      <c r="AK302">
        <v>0</v>
      </c>
      <c r="AL302">
        <v>19</v>
      </c>
      <c r="AO302" s="41"/>
      <c r="AP302" s="41"/>
      <c r="AQ302" t="str">
        <f t="shared" si="8"/>
        <v/>
      </c>
      <c r="AS302" t="str">
        <f t="shared" si="9"/>
        <v>wci_corp</v>
      </c>
    </row>
    <row r="303" spans="2:45" x14ac:dyDescent="0.2">
      <c r="B303" t="s">
        <v>161</v>
      </c>
      <c r="C303" s="31">
        <v>44012</v>
      </c>
      <c r="D303" s="15">
        <v>977.78</v>
      </c>
      <c r="E303" s="15">
        <v>0</v>
      </c>
      <c r="F303" s="53" t="s">
        <v>134</v>
      </c>
      <c r="G303" t="s">
        <v>315</v>
      </c>
      <c r="H303" s="41" t="s">
        <v>136</v>
      </c>
      <c r="I303" t="s">
        <v>308</v>
      </c>
      <c r="J303" t="s">
        <v>138</v>
      </c>
      <c r="K303" t="s">
        <v>139</v>
      </c>
      <c r="L303" s="17"/>
      <c r="M303" s="17"/>
      <c r="N303" s="17" t="s">
        <v>309</v>
      </c>
      <c r="O303" s="36"/>
      <c r="P303" s="17"/>
      <c r="Q303" s="17"/>
      <c r="U303" t="s">
        <v>310</v>
      </c>
      <c r="V303" t="s">
        <v>316</v>
      </c>
      <c r="X303" s="31">
        <v>43987</v>
      </c>
      <c r="Y303" s="31">
        <v>43987</v>
      </c>
      <c r="AA303" s="31"/>
      <c r="AB303" t="s">
        <v>9</v>
      </c>
      <c r="AC303">
        <v>0</v>
      </c>
      <c r="AD303">
        <v>0</v>
      </c>
      <c r="AE303">
        <v>0</v>
      </c>
      <c r="AF303">
        <v>0</v>
      </c>
      <c r="AG303">
        <v>5</v>
      </c>
      <c r="AH303">
        <v>1</v>
      </c>
      <c r="AI303">
        <v>50050</v>
      </c>
      <c r="AJ303">
        <v>2111</v>
      </c>
      <c r="AK303">
        <v>0</v>
      </c>
      <c r="AL303">
        <v>19</v>
      </c>
      <c r="AO303" s="41"/>
      <c r="AP303" s="41"/>
      <c r="AQ303" t="str">
        <f t="shared" si="8"/>
        <v/>
      </c>
      <c r="AS303" t="str">
        <f t="shared" si="9"/>
        <v>wci_corp</v>
      </c>
    </row>
    <row r="304" spans="2:45" x14ac:dyDescent="0.2">
      <c r="B304" t="s">
        <v>162</v>
      </c>
      <c r="C304" s="31">
        <v>44012</v>
      </c>
      <c r="D304" s="15">
        <v>2216.92</v>
      </c>
      <c r="E304" s="15">
        <v>0</v>
      </c>
      <c r="F304" s="53" t="s">
        <v>134</v>
      </c>
      <c r="G304" t="s">
        <v>315</v>
      </c>
      <c r="H304" s="41" t="s">
        <v>136</v>
      </c>
      <c r="I304" t="s">
        <v>308</v>
      </c>
      <c r="J304" t="s">
        <v>138</v>
      </c>
      <c r="K304" t="s">
        <v>139</v>
      </c>
      <c r="L304" s="17"/>
      <c r="M304" s="17"/>
      <c r="N304" s="17" t="s">
        <v>309</v>
      </c>
      <c r="O304" s="36"/>
      <c r="P304" s="17"/>
      <c r="Q304" s="17"/>
      <c r="U304" t="s">
        <v>310</v>
      </c>
      <c r="V304" t="s">
        <v>316</v>
      </c>
      <c r="X304" s="31">
        <v>43987</v>
      </c>
      <c r="Y304" s="31">
        <v>43987</v>
      </c>
      <c r="AA304" s="31"/>
      <c r="AB304" t="s">
        <v>9</v>
      </c>
      <c r="AC304">
        <v>0</v>
      </c>
      <c r="AD304">
        <v>0</v>
      </c>
      <c r="AE304">
        <v>0</v>
      </c>
      <c r="AF304">
        <v>0</v>
      </c>
      <c r="AG304">
        <v>5</v>
      </c>
      <c r="AH304">
        <v>1</v>
      </c>
      <c r="AI304">
        <v>52036</v>
      </c>
      <c r="AJ304">
        <v>2111</v>
      </c>
      <c r="AK304">
        <v>0</v>
      </c>
      <c r="AL304">
        <v>19</v>
      </c>
      <c r="AO304" s="41"/>
      <c r="AP304" s="41"/>
      <c r="AQ304" t="str">
        <f t="shared" si="8"/>
        <v/>
      </c>
      <c r="AS304" t="str">
        <f t="shared" si="9"/>
        <v>wci_corp</v>
      </c>
    </row>
    <row r="305" spans="2:45" x14ac:dyDescent="0.2">
      <c r="B305" t="s">
        <v>163</v>
      </c>
      <c r="C305" s="31">
        <v>44012</v>
      </c>
      <c r="D305" s="15">
        <v>169.59</v>
      </c>
      <c r="E305" s="15">
        <v>0</v>
      </c>
      <c r="F305" s="53" t="s">
        <v>134</v>
      </c>
      <c r="G305" t="s">
        <v>315</v>
      </c>
      <c r="H305" s="41" t="s">
        <v>136</v>
      </c>
      <c r="I305" t="s">
        <v>308</v>
      </c>
      <c r="J305" t="s">
        <v>138</v>
      </c>
      <c r="K305" t="s">
        <v>139</v>
      </c>
      <c r="L305" s="17"/>
      <c r="M305" s="17"/>
      <c r="N305" s="17" t="s">
        <v>309</v>
      </c>
      <c r="O305" s="36"/>
      <c r="P305" s="17"/>
      <c r="Q305" s="17"/>
      <c r="U305" t="s">
        <v>310</v>
      </c>
      <c r="V305" t="s">
        <v>316</v>
      </c>
      <c r="X305" s="31">
        <v>43987</v>
      </c>
      <c r="Y305" s="31">
        <v>43987</v>
      </c>
      <c r="AA305" s="31"/>
      <c r="AB305" t="s">
        <v>9</v>
      </c>
      <c r="AC305">
        <v>0</v>
      </c>
      <c r="AD305">
        <v>0</v>
      </c>
      <c r="AE305">
        <v>0</v>
      </c>
      <c r="AF305">
        <v>0</v>
      </c>
      <c r="AG305">
        <v>5</v>
      </c>
      <c r="AH305">
        <v>1</v>
      </c>
      <c r="AI305">
        <v>52050</v>
      </c>
      <c r="AJ305">
        <v>2111</v>
      </c>
      <c r="AK305">
        <v>0</v>
      </c>
      <c r="AL305">
        <v>19</v>
      </c>
      <c r="AO305" s="41"/>
      <c r="AP305" s="41"/>
      <c r="AQ305" t="str">
        <f t="shared" si="8"/>
        <v/>
      </c>
      <c r="AS305" t="str">
        <f t="shared" si="9"/>
        <v>wci_corp</v>
      </c>
    </row>
    <row r="306" spans="2:45" x14ac:dyDescent="0.2">
      <c r="B306" t="s">
        <v>164</v>
      </c>
      <c r="C306" s="31">
        <v>44012</v>
      </c>
      <c r="D306" s="15">
        <v>571.44000000000005</v>
      </c>
      <c r="E306" s="15">
        <v>0</v>
      </c>
      <c r="F306" s="53" t="s">
        <v>134</v>
      </c>
      <c r="G306" t="s">
        <v>315</v>
      </c>
      <c r="H306" s="41" t="s">
        <v>136</v>
      </c>
      <c r="I306" t="s">
        <v>308</v>
      </c>
      <c r="J306" t="s">
        <v>138</v>
      </c>
      <c r="K306" t="s">
        <v>139</v>
      </c>
      <c r="L306" s="17"/>
      <c r="M306" s="17"/>
      <c r="N306" s="17" t="s">
        <v>309</v>
      </c>
      <c r="O306" s="36"/>
      <c r="P306" s="17"/>
      <c r="Q306" s="17"/>
      <c r="U306" t="s">
        <v>310</v>
      </c>
      <c r="V306" t="s">
        <v>316</v>
      </c>
      <c r="X306" s="31">
        <v>43987</v>
      </c>
      <c r="Y306" s="31">
        <v>43987</v>
      </c>
      <c r="AA306" s="31"/>
      <c r="AB306" t="s">
        <v>9</v>
      </c>
      <c r="AC306">
        <v>0</v>
      </c>
      <c r="AD306">
        <v>0</v>
      </c>
      <c r="AE306">
        <v>0</v>
      </c>
      <c r="AF306">
        <v>0</v>
      </c>
      <c r="AG306">
        <v>5</v>
      </c>
      <c r="AH306">
        <v>1</v>
      </c>
      <c r="AI306">
        <v>55036</v>
      </c>
      <c r="AJ306">
        <v>2111</v>
      </c>
      <c r="AK306">
        <v>0</v>
      </c>
      <c r="AL306">
        <v>19</v>
      </c>
      <c r="AO306" s="41"/>
      <c r="AP306" s="41"/>
      <c r="AQ306" t="str">
        <f t="shared" si="8"/>
        <v/>
      </c>
      <c r="AS306" t="str">
        <f t="shared" si="9"/>
        <v>wci_corp</v>
      </c>
    </row>
    <row r="307" spans="2:45" x14ac:dyDescent="0.2">
      <c r="B307" t="s">
        <v>165</v>
      </c>
      <c r="C307" s="31">
        <v>44012</v>
      </c>
      <c r="D307" s="15">
        <v>43.72</v>
      </c>
      <c r="E307" s="15">
        <v>0</v>
      </c>
      <c r="F307" s="53" t="s">
        <v>134</v>
      </c>
      <c r="G307" t="s">
        <v>315</v>
      </c>
      <c r="H307" s="41" t="s">
        <v>136</v>
      </c>
      <c r="I307" t="s">
        <v>308</v>
      </c>
      <c r="J307" t="s">
        <v>138</v>
      </c>
      <c r="K307" t="s">
        <v>139</v>
      </c>
      <c r="L307" s="17"/>
      <c r="M307" s="17"/>
      <c r="N307" s="17" t="s">
        <v>309</v>
      </c>
      <c r="O307" s="36"/>
      <c r="P307" s="17"/>
      <c r="Q307" s="17"/>
      <c r="U307" t="s">
        <v>310</v>
      </c>
      <c r="V307" t="s">
        <v>316</v>
      </c>
      <c r="X307" s="31">
        <v>43987</v>
      </c>
      <c r="Y307" s="31">
        <v>43987</v>
      </c>
      <c r="AA307" s="31"/>
      <c r="AB307" t="s">
        <v>9</v>
      </c>
      <c r="AC307">
        <v>0</v>
      </c>
      <c r="AD307">
        <v>0</v>
      </c>
      <c r="AE307">
        <v>0</v>
      </c>
      <c r="AF307">
        <v>0</v>
      </c>
      <c r="AG307">
        <v>5</v>
      </c>
      <c r="AH307">
        <v>1</v>
      </c>
      <c r="AI307">
        <v>55050</v>
      </c>
      <c r="AJ307">
        <v>2111</v>
      </c>
      <c r="AK307">
        <v>0</v>
      </c>
      <c r="AL307">
        <v>19</v>
      </c>
      <c r="AO307" s="41"/>
      <c r="AP307" s="41"/>
      <c r="AQ307" t="str">
        <f t="shared" si="8"/>
        <v/>
      </c>
      <c r="AS307" t="str">
        <f t="shared" si="9"/>
        <v>wci_corp</v>
      </c>
    </row>
    <row r="308" spans="2:45" x14ac:dyDescent="0.2">
      <c r="B308" t="s">
        <v>166</v>
      </c>
      <c r="C308" s="31">
        <v>44012</v>
      </c>
      <c r="D308" s="15">
        <v>750</v>
      </c>
      <c r="E308" s="15">
        <v>0</v>
      </c>
      <c r="F308" s="53" t="s">
        <v>134</v>
      </c>
      <c r="G308" t="s">
        <v>315</v>
      </c>
      <c r="H308" s="41" t="s">
        <v>136</v>
      </c>
      <c r="I308" t="s">
        <v>308</v>
      </c>
      <c r="J308" t="s">
        <v>138</v>
      </c>
      <c r="K308" t="s">
        <v>139</v>
      </c>
      <c r="L308" s="17"/>
      <c r="M308" s="17"/>
      <c r="N308" s="17" t="s">
        <v>309</v>
      </c>
      <c r="O308" s="36"/>
      <c r="P308" s="17"/>
      <c r="Q308" s="17"/>
      <c r="U308" t="s">
        <v>310</v>
      </c>
      <c r="V308" t="s">
        <v>316</v>
      </c>
      <c r="X308" s="31">
        <v>43987</v>
      </c>
      <c r="Y308" s="31">
        <v>43987</v>
      </c>
      <c r="AA308" s="31"/>
      <c r="AB308" t="s">
        <v>9</v>
      </c>
      <c r="AC308">
        <v>0</v>
      </c>
      <c r="AD308">
        <v>0</v>
      </c>
      <c r="AE308">
        <v>0</v>
      </c>
      <c r="AF308">
        <v>0</v>
      </c>
      <c r="AG308">
        <v>5</v>
      </c>
      <c r="AH308">
        <v>1</v>
      </c>
      <c r="AI308">
        <v>56036</v>
      </c>
      <c r="AJ308">
        <v>2111</v>
      </c>
      <c r="AK308">
        <v>0</v>
      </c>
      <c r="AL308">
        <v>19</v>
      </c>
      <c r="AO308" s="41"/>
      <c r="AP308" s="41"/>
      <c r="AQ308" t="str">
        <f t="shared" si="8"/>
        <v/>
      </c>
      <c r="AS308" t="str">
        <f t="shared" si="9"/>
        <v>wci_corp</v>
      </c>
    </row>
    <row r="309" spans="2:45" x14ac:dyDescent="0.2">
      <c r="B309" t="s">
        <v>167</v>
      </c>
      <c r="C309" s="31">
        <v>44012</v>
      </c>
      <c r="D309" s="15">
        <v>57.38</v>
      </c>
      <c r="E309" s="15">
        <v>0</v>
      </c>
      <c r="F309" s="53" t="s">
        <v>134</v>
      </c>
      <c r="G309" t="s">
        <v>315</v>
      </c>
      <c r="H309" s="41" t="s">
        <v>136</v>
      </c>
      <c r="I309" t="s">
        <v>308</v>
      </c>
      <c r="J309" t="s">
        <v>138</v>
      </c>
      <c r="K309" t="s">
        <v>139</v>
      </c>
      <c r="L309" s="17"/>
      <c r="M309" s="17"/>
      <c r="N309" s="17" t="s">
        <v>309</v>
      </c>
      <c r="O309" s="36"/>
      <c r="P309" s="17"/>
      <c r="Q309" s="17"/>
      <c r="U309" t="s">
        <v>310</v>
      </c>
      <c r="V309" t="s">
        <v>316</v>
      </c>
      <c r="X309" s="31">
        <v>43987</v>
      </c>
      <c r="Y309" s="31">
        <v>43987</v>
      </c>
      <c r="AA309" s="31"/>
      <c r="AB309" t="s">
        <v>9</v>
      </c>
      <c r="AC309">
        <v>0</v>
      </c>
      <c r="AD309">
        <v>0</v>
      </c>
      <c r="AE309">
        <v>0</v>
      </c>
      <c r="AF309">
        <v>0</v>
      </c>
      <c r="AG309">
        <v>5</v>
      </c>
      <c r="AH309">
        <v>1</v>
      </c>
      <c r="AI309">
        <v>56050</v>
      </c>
      <c r="AJ309">
        <v>2111</v>
      </c>
      <c r="AK309">
        <v>0</v>
      </c>
      <c r="AL309">
        <v>19</v>
      </c>
      <c r="AO309" s="41"/>
      <c r="AP309" s="41"/>
      <c r="AQ309" t="str">
        <f t="shared" si="8"/>
        <v/>
      </c>
      <c r="AS309" t="str">
        <f t="shared" si="9"/>
        <v>wci_corp</v>
      </c>
    </row>
    <row r="310" spans="2:45" x14ac:dyDescent="0.2">
      <c r="B310" t="s">
        <v>168</v>
      </c>
      <c r="C310" s="31">
        <v>44012</v>
      </c>
      <c r="D310" s="15">
        <v>2060</v>
      </c>
      <c r="E310" s="15">
        <v>0</v>
      </c>
      <c r="F310" s="53" t="s">
        <v>134</v>
      </c>
      <c r="G310" t="s">
        <v>315</v>
      </c>
      <c r="H310" s="41" t="s">
        <v>136</v>
      </c>
      <c r="I310" t="s">
        <v>308</v>
      </c>
      <c r="J310" t="s">
        <v>138</v>
      </c>
      <c r="K310" t="s">
        <v>139</v>
      </c>
      <c r="L310" s="17"/>
      <c r="M310" s="17"/>
      <c r="N310" s="17" t="s">
        <v>309</v>
      </c>
      <c r="O310" s="36"/>
      <c r="P310" s="17"/>
      <c r="Q310" s="17"/>
      <c r="U310" t="s">
        <v>310</v>
      </c>
      <c r="V310" t="s">
        <v>316</v>
      </c>
      <c r="X310" s="31">
        <v>43987</v>
      </c>
      <c r="Y310" s="31">
        <v>43987</v>
      </c>
      <c r="AA310" s="31"/>
      <c r="AB310" t="s">
        <v>9</v>
      </c>
      <c r="AC310">
        <v>0</v>
      </c>
      <c r="AD310">
        <v>0</v>
      </c>
      <c r="AE310">
        <v>0</v>
      </c>
      <c r="AF310">
        <v>0</v>
      </c>
      <c r="AG310">
        <v>5</v>
      </c>
      <c r="AH310">
        <v>1</v>
      </c>
      <c r="AI310">
        <v>70036</v>
      </c>
      <c r="AJ310">
        <v>2111</v>
      </c>
      <c r="AK310">
        <v>0</v>
      </c>
      <c r="AL310">
        <v>19</v>
      </c>
      <c r="AO310" s="41"/>
      <c r="AP310" s="41"/>
      <c r="AQ310" t="str">
        <f t="shared" si="8"/>
        <v/>
      </c>
      <c r="AS310" t="str">
        <f t="shared" si="9"/>
        <v>wci_corp</v>
      </c>
    </row>
    <row r="311" spans="2:45" x14ac:dyDescent="0.2">
      <c r="B311" t="s">
        <v>169</v>
      </c>
      <c r="C311" s="31">
        <v>44012</v>
      </c>
      <c r="D311" s="15">
        <v>157.59</v>
      </c>
      <c r="E311" s="15">
        <v>0</v>
      </c>
      <c r="F311" s="53" t="s">
        <v>134</v>
      </c>
      <c r="G311" t="s">
        <v>315</v>
      </c>
      <c r="H311" s="41" t="s">
        <v>136</v>
      </c>
      <c r="I311" t="s">
        <v>308</v>
      </c>
      <c r="J311" t="s">
        <v>138</v>
      </c>
      <c r="K311" t="s">
        <v>139</v>
      </c>
      <c r="L311" s="17"/>
      <c r="M311" s="17"/>
      <c r="N311" s="17" t="s">
        <v>309</v>
      </c>
      <c r="O311" s="36"/>
      <c r="P311" s="17"/>
      <c r="Q311" s="17"/>
      <c r="U311" t="s">
        <v>310</v>
      </c>
      <c r="V311" t="s">
        <v>316</v>
      </c>
      <c r="X311" s="31">
        <v>43987</v>
      </c>
      <c r="Y311" s="31">
        <v>43987</v>
      </c>
      <c r="AA311" s="31"/>
      <c r="AB311" t="s">
        <v>9</v>
      </c>
      <c r="AC311">
        <v>0</v>
      </c>
      <c r="AD311">
        <v>0</v>
      </c>
      <c r="AE311">
        <v>0</v>
      </c>
      <c r="AF311">
        <v>0</v>
      </c>
      <c r="AG311">
        <v>5</v>
      </c>
      <c r="AH311">
        <v>1</v>
      </c>
      <c r="AI311">
        <v>70050</v>
      </c>
      <c r="AJ311">
        <v>2111</v>
      </c>
      <c r="AK311">
        <v>0</v>
      </c>
      <c r="AL311">
        <v>19</v>
      </c>
      <c r="AO311" s="41"/>
      <c r="AP311" s="41"/>
      <c r="AQ311" t="str">
        <f t="shared" si="8"/>
        <v/>
      </c>
      <c r="AS311" t="str">
        <f t="shared" si="9"/>
        <v>wci_corp</v>
      </c>
    </row>
    <row r="312" spans="2:45" x14ac:dyDescent="0.2">
      <c r="B312" t="s">
        <v>207</v>
      </c>
      <c r="C312" s="31">
        <v>44012</v>
      </c>
      <c r="D312" s="15">
        <v>1124.6400000000001</v>
      </c>
      <c r="E312" s="15">
        <v>0</v>
      </c>
      <c r="F312" s="53" t="s">
        <v>134</v>
      </c>
      <c r="G312" t="s">
        <v>317</v>
      </c>
      <c r="H312" s="41" t="s">
        <v>136</v>
      </c>
      <c r="I312" t="s">
        <v>318</v>
      </c>
      <c r="J312" t="s">
        <v>138</v>
      </c>
      <c r="K312" t="s">
        <v>139</v>
      </c>
      <c r="L312" s="17"/>
      <c r="M312" s="17"/>
      <c r="N312" s="17" t="s">
        <v>319</v>
      </c>
      <c r="O312" s="36"/>
      <c r="P312" s="17"/>
      <c r="Q312" s="17"/>
      <c r="U312" t="s">
        <v>320</v>
      </c>
      <c r="V312" t="s">
        <v>320</v>
      </c>
      <c r="X312" s="31">
        <v>44013</v>
      </c>
      <c r="Y312" s="31">
        <v>44013</v>
      </c>
      <c r="AA312" s="31"/>
      <c r="AB312" t="s">
        <v>9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1</v>
      </c>
      <c r="AI312">
        <v>52020</v>
      </c>
      <c r="AJ312">
        <v>2111</v>
      </c>
      <c r="AK312">
        <v>0</v>
      </c>
      <c r="AL312">
        <v>19</v>
      </c>
      <c r="AO312" s="41"/>
      <c r="AP312" s="41"/>
      <c r="AQ312" t="str">
        <f t="shared" si="8"/>
        <v/>
      </c>
      <c r="AS312" t="str">
        <f t="shared" si="9"/>
        <v>wci_corp</v>
      </c>
    </row>
    <row r="313" spans="2:45" x14ac:dyDescent="0.2">
      <c r="B313" t="s">
        <v>162</v>
      </c>
      <c r="C313" s="31">
        <v>44012</v>
      </c>
      <c r="D313" s="15">
        <v>3.46</v>
      </c>
      <c r="E313" s="15">
        <v>0</v>
      </c>
      <c r="F313" s="53" t="s">
        <v>134</v>
      </c>
      <c r="G313" t="s">
        <v>317</v>
      </c>
      <c r="H313" s="41" t="s">
        <v>136</v>
      </c>
      <c r="I313" t="s">
        <v>318</v>
      </c>
      <c r="J313" t="s">
        <v>138</v>
      </c>
      <c r="K313" t="s">
        <v>139</v>
      </c>
      <c r="L313" s="17"/>
      <c r="M313" s="17"/>
      <c r="N313" s="17" t="s">
        <v>321</v>
      </c>
      <c r="O313" s="36"/>
      <c r="P313" s="17"/>
      <c r="Q313" s="17"/>
      <c r="U313" t="s">
        <v>320</v>
      </c>
      <c r="V313" t="s">
        <v>320</v>
      </c>
      <c r="X313" s="31">
        <v>44013</v>
      </c>
      <c r="Y313" s="31">
        <v>44013</v>
      </c>
      <c r="AA313" s="31"/>
      <c r="AB313" t="s">
        <v>9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1</v>
      </c>
      <c r="AI313">
        <v>52036</v>
      </c>
      <c r="AJ313">
        <v>2111</v>
      </c>
      <c r="AK313">
        <v>0</v>
      </c>
      <c r="AL313">
        <v>19</v>
      </c>
      <c r="AO313" s="41"/>
      <c r="AP313" s="41"/>
      <c r="AQ313" t="str">
        <f t="shared" si="8"/>
        <v/>
      </c>
      <c r="AS313" t="str">
        <f t="shared" si="9"/>
        <v>wci_corp</v>
      </c>
    </row>
    <row r="314" spans="2:45" x14ac:dyDescent="0.2">
      <c r="B314" t="s">
        <v>142</v>
      </c>
      <c r="C314" s="31">
        <v>44012</v>
      </c>
      <c r="D314" s="15">
        <v>750</v>
      </c>
      <c r="E314" s="15">
        <v>0</v>
      </c>
      <c r="F314" s="53" t="s">
        <v>134</v>
      </c>
      <c r="G314" t="s">
        <v>317</v>
      </c>
      <c r="H314" s="41" t="s">
        <v>136</v>
      </c>
      <c r="I314" t="s">
        <v>318</v>
      </c>
      <c r="J314" t="s">
        <v>138</v>
      </c>
      <c r="K314" t="s">
        <v>139</v>
      </c>
      <c r="L314" s="17"/>
      <c r="M314" s="17"/>
      <c r="N314" s="17" t="s">
        <v>322</v>
      </c>
      <c r="O314" s="36"/>
      <c r="P314" s="17"/>
      <c r="Q314" s="17"/>
      <c r="U314" t="s">
        <v>320</v>
      </c>
      <c r="V314" t="s">
        <v>320</v>
      </c>
      <c r="X314" s="31">
        <v>44013</v>
      </c>
      <c r="Y314" s="31">
        <v>44013</v>
      </c>
      <c r="AA314" s="31"/>
      <c r="AB314" t="s">
        <v>9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1</v>
      </c>
      <c r="AI314">
        <v>70165</v>
      </c>
      <c r="AJ314">
        <v>2111</v>
      </c>
      <c r="AK314">
        <v>0</v>
      </c>
      <c r="AL314">
        <v>19</v>
      </c>
      <c r="AO314" s="41"/>
      <c r="AP314" s="41"/>
      <c r="AQ314" t="str">
        <f t="shared" si="8"/>
        <v/>
      </c>
      <c r="AS314" t="str">
        <f t="shared" si="9"/>
        <v>wci_corp</v>
      </c>
    </row>
    <row r="315" spans="2:45" x14ac:dyDescent="0.2">
      <c r="B315" t="s">
        <v>202</v>
      </c>
      <c r="C315" s="31">
        <v>44012</v>
      </c>
      <c r="D315" s="15">
        <v>213.04</v>
      </c>
      <c r="E315" s="15">
        <v>0</v>
      </c>
      <c r="F315" s="53" t="s">
        <v>134</v>
      </c>
      <c r="G315" t="s">
        <v>323</v>
      </c>
      <c r="H315" s="41" t="s">
        <v>136</v>
      </c>
      <c r="I315" t="s">
        <v>324</v>
      </c>
      <c r="J315" t="s">
        <v>138</v>
      </c>
      <c r="K315" t="s">
        <v>139</v>
      </c>
      <c r="L315" s="17"/>
      <c r="M315" s="17"/>
      <c r="N315" s="17" t="s">
        <v>325</v>
      </c>
      <c r="O315" s="36"/>
      <c r="P315" s="17"/>
      <c r="Q315" s="17"/>
      <c r="U315" t="s">
        <v>326</v>
      </c>
      <c r="V315" t="s">
        <v>326</v>
      </c>
      <c r="X315" s="31">
        <v>44013</v>
      </c>
      <c r="Y315" s="31">
        <v>44013</v>
      </c>
      <c r="AA315" s="31"/>
      <c r="AB315" t="s">
        <v>9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1</v>
      </c>
      <c r="AI315">
        <v>50020</v>
      </c>
      <c r="AJ315">
        <v>2111</v>
      </c>
      <c r="AK315">
        <v>0</v>
      </c>
      <c r="AL315">
        <v>19</v>
      </c>
      <c r="AO315" s="41"/>
      <c r="AP315" s="41"/>
      <c r="AQ315" t="str">
        <f t="shared" si="8"/>
        <v/>
      </c>
      <c r="AS315" t="str">
        <f t="shared" si="9"/>
        <v>wci_corp</v>
      </c>
    </row>
    <row r="316" spans="2:45" x14ac:dyDescent="0.2">
      <c r="B316" t="s">
        <v>142</v>
      </c>
      <c r="C316" s="31">
        <v>44012</v>
      </c>
      <c r="D316" s="15">
        <v>725</v>
      </c>
      <c r="E316" s="15">
        <v>0</v>
      </c>
      <c r="F316" s="53" t="s">
        <v>134</v>
      </c>
      <c r="G316" t="s">
        <v>323</v>
      </c>
      <c r="H316" s="41" t="s">
        <v>136</v>
      </c>
      <c r="I316" t="s">
        <v>324</v>
      </c>
      <c r="J316" t="s">
        <v>138</v>
      </c>
      <c r="K316" t="s">
        <v>139</v>
      </c>
      <c r="L316" s="17"/>
      <c r="M316" s="17"/>
      <c r="N316" s="17" t="s">
        <v>327</v>
      </c>
      <c r="O316" s="36"/>
      <c r="P316" s="17"/>
      <c r="Q316" s="17"/>
      <c r="U316" t="s">
        <v>326</v>
      </c>
      <c r="V316" t="s">
        <v>326</v>
      </c>
      <c r="X316" s="31">
        <v>44013</v>
      </c>
      <c r="Y316" s="31">
        <v>44013</v>
      </c>
      <c r="AA316" s="31"/>
      <c r="AB316" t="s">
        <v>9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1</v>
      </c>
      <c r="AI316">
        <v>70165</v>
      </c>
      <c r="AJ316">
        <v>2111</v>
      </c>
      <c r="AK316">
        <v>0</v>
      </c>
      <c r="AL316">
        <v>19</v>
      </c>
      <c r="AO316" s="41"/>
      <c r="AP316" s="41"/>
      <c r="AQ316" t="str">
        <f t="shared" si="8"/>
        <v/>
      </c>
      <c r="AS316" t="str">
        <f t="shared" si="9"/>
        <v>wci_corp</v>
      </c>
    </row>
    <row r="317" spans="2:45" x14ac:dyDescent="0.2">
      <c r="B317" t="s">
        <v>142</v>
      </c>
      <c r="C317" s="31">
        <v>44012</v>
      </c>
      <c r="D317" s="15">
        <v>25</v>
      </c>
      <c r="E317" s="15">
        <v>0</v>
      </c>
      <c r="F317" s="53" t="s">
        <v>134</v>
      </c>
      <c r="G317" t="s">
        <v>323</v>
      </c>
      <c r="H317" s="41" t="s">
        <v>136</v>
      </c>
      <c r="I317" t="s">
        <v>324</v>
      </c>
      <c r="J317" t="s">
        <v>138</v>
      </c>
      <c r="K317" t="s">
        <v>139</v>
      </c>
      <c r="L317" s="17"/>
      <c r="M317" s="17"/>
      <c r="N317" s="17" t="s">
        <v>327</v>
      </c>
      <c r="O317" s="36"/>
      <c r="P317" s="17"/>
      <c r="Q317" s="17"/>
      <c r="U317" t="s">
        <v>326</v>
      </c>
      <c r="V317" t="s">
        <v>326</v>
      </c>
      <c r="X317" s="31">
        <v>44013</v>
      </c>
      <c r="Y317" s="31">
        <v>44013</v>
      </c>
      <c r="AA317" s="31"/>
      <c r="AB317" t="s">
        <v>9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1</v>
      </c>
      <c r="AI317">
        <v>70165</v>
      </c>
      <c r="AJ317">
        <v>2111</v>
      </c>
      <c r="AK317">
        <v>0</v>
      </c>
      <c r="AL317">
        <v>19</v>
      </c>
      <c r="AO317" s="41"/>
      <c r="AP317" s="41"/>
      <c r="AQ317" t="str">
        <f t="shared" si="8"/>
        <v/>
      </c>
      <c r="AS317" t="str">
        <f t="shared" si="9"/>
        <v>wci_corp</v>
      </c>
    </row>
    <row r="318" spans="2:45" x14ac:dyDescent="0.2">
      <c r="B318" t="s">
        <v>142</v>
      </c>
      <c r="C318" s="31">
        <v>44012</v>
      </c>
      <c r="D318" s="15">
        <v>25</v>
      </c>
      <c r="E318" s="15">
        <v>0</v>
      </c>
      <c r="F318" s="53" t="s">
        <v>134</v>
      </c>
      <c r="G318" t="s">
        <v>323</v>
      </c>
      <c r="H318" s="41" t="s">
        <v>136</v>
      </c>
      <c r="I318" t="s">
        <v>324</v>
      </c>
      <c r="J318" t="s">
        <v>138</v>
      </c>
      <c r="K318" t="s">
        <v>139</v>
      </c>
      <c r="L318" s="17"/>
      <c r="M318" s="17"/>
      <c r="N318" s="17" t="s">
        <v>327</v>
      </c>
      <c r="O318" s="36"/>
      <c r="P318" s="17"/>
      <c r="Q318" s="17"/>
      <c r="U318" t="s">
        <v>326</v>
      </c>
      <c r="V318" t="s">
        <v>326</v>
      </c>
      <c r="X318" s="31">
        <v>44013</v>
      </c>
      <c r="Y318" s="31">
        <v>44013</v>
      </c>
      <c r="AA318" s="31"/>
      <c r="AB318" t="s">
        <v>9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1</v>
      </c>
      <c r="AI318">
        <v>70165</v>
      </c>
      <c r="AJ318">
        <v>2111</v>
      </c>
      <c r="AK318">
        <v>0</v>
      </c>
      <c r="AL318">
        <v>19</v>
      </c>
      <c r="AO318" s="41"/>
      <c r="AP318" s="41"/>
      <c r="AQ318" t="str">
        <f t="shared" si="8"/>
        <v/>
      </c>
      <c r="AS318" t="str">
        <f t="shared" si="9"/>
        <v>wci_corp</v>
      </c>
    </row>
    <row r="319" spans="2:45" x14ac:dyDescent="0.2">
      <c r="B319" t="s">
        <v>170</v>
      </c>
      <c r="C319" s="31">
        <v>44012</v>
      </c>
      <c r="D319" s="15">
        <v>455.85</v>
      </c>
      <c r="E319" s="15">
        <v>0</v>
      </c>
      <c r="F319" s="53" t="s">
        <v>134</v>
      </c>
      <c r="G319" t="s">
        <v>328</v>
      </c>
      <c r="H319" s="41" t="s">
        <v>136</v>
      </c>
      <c r="I319" t="s">
        <v>329</v>
      </c>
      <c r="J319" t="s">
        <v>205</v>
      </c>
      <c r="K319" t="s">
        <v>139</v>
      </c>
      <c r="L319" s="17"/>
      <c r="M319" s="17"/>
      <c r="N319" s="17" t="s">
        <v>284</v>
      </c>
      <c r="O319" s="36"/>
      <c r="P319" s="17"/>
      <c r="Q319" s="17"/>
      <c r="U319" t="s">
        <v>330</v>
      </c>
      <c r="V319" t="s">
        <v>330</v>
      </c>
      <c r="X319" s="31">
        <v>44014</v>
      </c>
      <c r="Y319" s="31">
        <v>44014</v>
      </c>
      <c r="AA319" s="31"/>
      <c r="AB319" t="s">
        <v>9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1</v>
      </c>
      <c r="AI319">
        <v>50086</v>
      </c>
      <c r="AJ319">
        <v>2111</v>
      </c>
      <c r="AK319">
        <v>0</v>
      </c>
      <c r="AL319">
        <v>19</v>
      </c>
      <c r="AO319" s="41"/>
      <c r="AP319" s="41"/>
      <c r="AQ319" t="str">
        <f t="shared" si="8"/>
        <v/>
      </c>
      <c r="AS319" t="str">
        <f t="shared" si="9"/>
        <v>wci_corp</v>
      </c>
    </row>
    <row r="320" spans="2:45" x14ac:dyDescent="0.2">
      <c r="B320" t="s">
        <v>170</v>
      </c>
      <c r="C320" s="31">
        <v>44012</v>
      </c>
      <c r="D320" s="15">
        <v>108.78</v>
      </c>
      <c r="E320" s="15">
        <v>0</v>
      </c>
      <c r="F320" s="53" t="s">
        <v>134</v>
      </c>
      <c r="G320" t="s">
        <v>328</v>
      </c>
      <c r="H320" s="41" t="s">
        <v>136</v>
      </c>
      <c r="I320" t="s">
        <v>329</v>
      </c>
      <c r="J320" t="s">
        <v>205</v>
      </c>
      <c r="K320" t="s">
        <v>139</v>
      </c>
      <c r="L320" s="17"/>
      <c r="M320" s="17"/>
      <c r="N320" s="17" t="s">
        <v>331</v>
      </c>
      <c r="O320" s="36"/>
      <c r="P320" s="17"/>
      <c r="Q320" s="17"/>
      <c r="U320" t="s">
        <v>330</v>
      </c>
      <c r="V320" t="s">
        <v>330</v>
      </c>
      <c r="X320" s="31">
        <v>44014</v>
      </c>
      <c r="Y320" s="31">
        <v>44014</v>
      </c>
      <c r="AA320" s="31"/>
      <c r="AB320" t="s">
        <v>9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1</v>
      </c>
      <c r="AI320">
        <v>50086</v>
      </c>
      <c r="AJ320">
        <v>2111</v>
      </c>
      <c r="AK320">
        <v>0</v>
      </c>
      <c r="AL320">
        <v>19</v>
      </c>
      <c r="AO320" s="41"/>
      <c r="AP320" s="41"/>
      <c r="AQ320" t="str">
        <f t="shared" si="8"/>
        <v/>
      </c>
      <c r="AS320" t="str">
        <f t="shared" si="9"/>
        <v>wci_corp</v>
      </c>
    </row>
    <row r="321" spans="2:45" x14ac:dyDescent="0.2">
      <c r="B321" t="s">
        <v>170</v>
      </c>
      <c r="C321" s="31">
        <v>44012</v>
      </c>
      <c r="D321" s="15">
        <v>26.21</v>
      </c>
      <c r="E321" s="15">
        <v>0</v>
      </c>
      <c r="F321" s="53" t="s">
        <v>134</v>
      </c>
      <c r="G321" t="s">
        <v>328</v>
      </c>
      <c r="H321" s="41" t="s">
        <v>136</v>
      </c>
      <c r="I321" t="s">
        <v>329</v>
      </c>
      <c r="J321" t="s">
        <v>205</v>
      </c>
      <c r="K321" t="s">
        <v>139</v>
      </c>
      <c r="L321" s="17"/>
      <c r="M321" s="17"/>
      <c r="N321" s="17" t="s">
        <v>332</v>
      </c>
      <c r="O321" s="36"/>
      <c r="P321" s="17"/>
      <c r="Q321" s="17"/>
      <c r="U321" t="s">
        <v>330</v>
      </c>
      <c r="V321" t="s">
        <v>330</v>
      </c>
      <c r="X321" s="31">
        <v>44014</v>
      </c>
      <c r="Y321" s="31">
        <v>44014</v>
      </c>
      <c r="AA321" s="31"/>
      <c r="AB321" t="s">
        <v>9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1</v>
      </c>
      <c r="AI321">
        <v>50086</v>
      </c>
      <c r="AJ321">
        <v>2111</v>
      </c>
      <c r="AK321">
        <v>0</v>
      </c>
      <c r="AL321">
        <v>19</v>
      </c>
      <c r="AO321" s="41"/>
      <c r="AP321" s="41"/>
      <c r="AQ321" t="str">
        <f t="shared" si="8"/>
        <v/>
      </c>
      <c r="AS321" t="str">
        <f t="shared" si="9"/>
        <v>wci_corp</v>
      </c>
    </row>
    <row r="322" spans="2:45" x14ac:dyDescent="0.2">
      <c r="B322" t="s">
        <v>218</v>
      </c>
      <c r="C322" s="31">
        <v>44012</v>
      </c>
      <c r="D322" s="15">
        <v>490.9</v>
      </c>
      <c r="E322" s="15">
        <v>0</v>
      </c>
      <c r="F322" s="53" t="s">
        <v>134</v>
      </c>
      <c r="G322" t="s">
        <v>328</v>
      </c>
      <c r="H322" s="41" t="s">
        <v>136</v>
      </c>
      <c r="I322" t="s">
        <v>329</v>
      </c>
      <c r="J322" t="s">
        <v>205</v>
      </c>
      <c r="K322" t="s">
        <v>139</v>
      </c>
      <c r="L322" s="17"/>
      <c r="M322" s="17"/>
      <c r="N322" s="17" t="s">
        <v>333</v>
      </c>
      <c r="O322" s="36"/>
      <c r="P322" s="17"/>
      <c r="Q322" s="17"/>
      <c r="U322" t="s">
        <v>330</v>
      </c>
      <c r="V322" t="s">
        <v>330</v>
      </c>
      <c r="X322" s="31">
        <v>44014</v>
      </c>
      <c r="Y322" s="31">
        <v>44014</v>
      </c>
      <c r="AA322" s="31"/>
      <c r="AB322" t="s">
        <v>9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1</v>
      </c>
      <c r="AI322">
        <v>57125</v>
      </c>
      <c r="AJ322">
        <v>2111</v>
      </c>
      <c r="AK322">
        <v>0</v>
      </c>
      <c r="AL322">
        <v>19</v>
      </c>
      <c r="AO322" s="41"/>
      <c r="AP322" s="41"/>
      <c r="AQ322" t="str">
        <f t="shared" si="8"/>
        <v/>
      </c>
      <c r="AS322" t="str">
        <f t="shared" si="9"/>
        <v>wci_corp</v>
      </c>
    </row>
    <row r="323" spans="2:45" x14ac:dyDescent="0.2">
      <c r="B323" t="s">
        <v>170</v>
      </c>
      <c r="C323" s="31">
        <v>44012</v>
      </c>
      <c r="D323" s="15">
        <v>1544.47</v>
      </c>
      <c r="E323" s="15">
        <v>0</v>
      </c>
      <c r="F323" s="53" t="s">
        <v>134</v>
      </c>
      <c r="G323" t="s">
        <v>334</v>
      </c>
      <c r="H323" s="41" t="s">
        <v>136</v>
      </c>
      <c r="I323" t="s">
        <v>335</v>
      </c>
      <c r="J323" t="s">
        <v>138</v>
      </c>
      <c r="K323" t="s">
        <v>139</v>
      </c>
      <c r="L323" s="17"/>
      <c r="M323" s="17"/>
      <c r="N323" s="17" t="s">
        <v>336</v>
      </c>
      <c r="O323" s="36"/>
      <c r="P323" s="17"/>
      <c r="Q323" s="17"/>
      <c r="U323" t="s">
        <v>337</v>
      </c>
      <c r="V323" t="s">
        <v>337</v>
      </c>
      <c r="X323" s="31">
        <v>44019</v>
      </c>
      <c r="Y323" s="31">
        <v>44020</v>
      </c>
      <c r="AA323" s="31"/>
      <c r="AB323" t="s">
        <v>9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1</v>
      </c>
      <c r="AI323">
        <v>50086</v>
      </c>
      <c r="AJ323">
        <v>2111</v>
      </c>
      <c r="AK323">
        <v>0</v>
      </c>
      <c r="AL323">
        <v>19</v>
      </c>
      <c r="AO323" s="41"/>
      <c r="AP323" s="41"/>
      <c r="AQ323" t="str">
        <f t="shared" si="8"/>
        <v/>
      </c>
      <c r="AS323" t="str">
        <f t="shared" si="9"/>
        <v>wci_corp</v>
      </c>
    </row>
    <row r="324" spans="2:45" x14ac:dyDescent="0.2">
      <c r="B324" t="s">
        <v>218</v>
      </c>
      <c r="C324" s="31">
        <v>44012</v>
      </c>
      <c r="D324" s="15">
        <v>931.67</v>
      </c>
      <c r="E324" s="15">
        <v>0</v>
      </c>
      <c r="F324" s="53" t="s">
        <v>134</v>
      </c>
      <c r="G324" t="s">
        <v>334</v>
      </c>
      <c r="H324" s="41" t="s">
        <v>136</v>
      </c>
      <c r="I324" t="s">
        <v>335</v>
      </c>
      <c r="J324" t="s">
        <v>138</v>
      </c>
      <c r="K324" t="s">
        <v>139</v>
      </c>
      <c r="L324" s="17"/>
      <c r="M324" s="17"/>
      <c r="N324" s="17" t="s">
        <v>338</v>
      </c>
      <c r="O324" s="36"/>
      <c r="P324" s="17"/>
      <c r="Q324" s="17"/>
      <c r="U324" t="s">
        <v>337</v>
      </c>
      <c r="V324" t="s">
        <v>337</v>
      </c>
      <c r="X324" s="31">
        <v>44019</v>
      </c>
      <c r="Y324" s="31">
        <v>44020</v>
      </c>
      <c r="AA324" s="31"/>
      <c r="AB324" t="s">
        <v>9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1</v>
      </c>
      <c r="AI324">
        <v>57125</v>
      </c>
      <c r="AJ324">
        <v>2111</v>
      </c>
      <c r="AK324">
        <v>0</v>
      </c>
      <c r="AL324">
        <v>19</v>
      </c>
      <c r="AO324" s="41"/>
      <c r="AP324" s="41"/>
      <c r="AQ324" t="str">
        <f t="shared" si="8"/>
        <v/>
      </c>
      <c r="AS324" t="str">
        <f t="shared" si="9"/>
        <v>wci_corp</v>
      </c>
    </row>
    <row r="325" spans="2:45" x14ac:dyDescent="0.2">
      <c r="B325" t="s">
        <v>170</v>
      </c>
      <c r="C325" s="31">
        <v>44043</v>
      </c>
      <c r="D325" s="15">
        <v>290.04000000000002</v>
      </c>
      <c r="E325" s="15">
        <v>0</v>
      </c>
      <c r="F325" s="53" t="s">
        <v>134</v>
      </c>
      <c r="G325" t="s">
        <v>339</v>
      </c>
      <c r="H325" s="41" t="s">
        <v>136</v>
      </c>
      <c r="I325" t="s">
        <v>340</v>
      </c>
      <c r="J325" t="s">
        <v>173</v>
      </c>
      <c r="K325" t="s">
        <v>139</v>
      </c>
      <c r="L325" s="17"/>
      <c r="M325" s="17"/>
      <c r="N325" s="17" t="s">
        <v>341</v>
      </c>
      <c r="O325" s="36"/>
      <c r="P325" s="17"/>
      <c r="Q325" s="17"/>
      <c r="U325" t="s">
        <v>342</v>
      </c>
      <c r="V325" t="s">
        <v>342</v>
      </c>
      <c r="X325" s="31">
        <v>44047</v>
      </c>
      <c r="Y325" s="31">
        <v>44048</v>
      </c>
      <c r="AA325" s="31"/>
      <c r="AB325" t="s">
        <v>9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1</v>
      </c>
      <c r="AI325">
        <v>50086</v>
      </c>
      <c r="AJ325">
        <v>2111</v>
      </c>
      <c r="AK325">
        <v>0</v>
      </c>
      <c r="AL325">
        <v>19</v>
      </c>
      <c r="AO325" s="41"/>
      <c r="AP325" s="41"/>
      <c r="AQ325" t="str">
        <f t="shared" si="8"/>
        <v/>
      </c>
      <c r="AS325" t="str">
        <f t="shared" si="9"/>
        <v>wci_corp</v>
      </c>
    </row>
    <row r="326" spans="2:45" x14ac:dyDescent="0.2">
      <c r="B326" t="s">
        <v>202</v>
      </c>
      <c r="C326" s="31">
        <v>44043</v>
      </c>
      <c r="D326" s="15">
        <v>2978.4</v>
      </c>
      <c r="E326" s="15">
        <v>0</v>
      </c>
      <c r="F326" s="53" t="s">
        <v>134</v>
      </c>
      <c r="G326" t="s">
        <v>343</v>
      </c>
      <c r="H326" s="41" t="s">
        <v>136</v>
      </c>
      <c r="I326" t="s">
        <v>344</v>
      </c>
      <c r="J326" t="s">
        <v>190</v>
      </c>
      <c r="K326" t="s">
        <v>139</v>
      </c>
      <c r="L326" s="17"/>
      <c r="M326" s="17"/>
      <c r="N326" s="17" t="s">
        <v>345</v>
      </c>
      <c r="O326" s="36"/>
      <c r="P326" s="17"/>
      <c r="Q326" s="17"/>
      <c r="U326" t="s">
        <v>346</v>
      </c>
      <c r="V326" t="s">
        <v>346</v>
      </c>
      <c r="X326" s="31">
        <v>44049</v>
      </c>
      <c r="Y326" s="31">
        <v>44049</v>
      </c>
      <c r="AA326" s="31"/>
      <c r="AB326" t="s">
        <v>9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</v>
      </c>
      <c r="AI326">
        <v>50020</v>
      </c>
      <c r="AJ326">
        <v>2111</v>
      </c>
      <c r="AK326">
        <v>0</v>
      </c>
      <c r="AL326">
        <v>19</v>
      </c>
      <c r="AO326" s="41"/>
      <c r="AP326" s="41"/>
      <c r="AQ326" t="str">
        <f t="shared" si="8"/>
        <v/>
      </c>
      <c r="AS326" t="str">
        <f t="shared" si="9"/>
        <v>wci_corp</v>
      </c>
    </row>
    <row r="327" spans="2:45" x14ac:dyDescent="0.2">
      <c r="B327" t="s">
        <v>202</v>
      </c>
      <c r="C327" s="31">
        <v>44043</v>
      </c>
      <c r="D327" s="15">
        <v>1155.5999999999999</v>
      </c>
      <c r="E327" s="15">
        <v>0</v>
      </c>
      <c r="F327" s="53" t="s">
        <v>134</v>
      </c>
      <c r="G327" t="s">
        <v>343</v>
      </c>
      <c r="H327" s="41" t="s">
        <v>136</v>
      </c>
      <c r="I327" t="s">
        <v>344</v>
      </c>
      <c r="J327" t="s">
        <v>190</v>
      </c>
      <c r="K327" t="s">
        <v>139</v>
      </c>
      <c r="L327" s="17"/>
      <c r="M327" s="17"/>
      <c r="N327" s="17" t="s">
        <v>345</v>
      </c>
      <c r="O327" s="36"/>
      <c r="P327" s="17"/>
      <c r="Q327" s="17"/>
      <c r="U327" t="s">
        <v>346</v>
      </c>
      <c r="V327" t="s">
        <v>346</v>
      </c>
      <c r="X327" s="31">
        <v>44049</v>
      </c>
      <c r="Y327" s="31">
        <v>44049</v>
      </c>
      <c r="AA327" s="31"/>
      <c r="AB327" t="s">
        <v>9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1</v>
      </c>
      <c r="AI327">
        <v>50020</v>
      </c>
      <c r="AJ327">
        <v>2111</v>
      </c>
      <c r="AK327">
        <v>0</v>
      </c>
      <c r="AL327">
        <v>19</v>
      </c>
      <c r="AO327" s="41"/>
      <c r="AP327" s="41"/>
      <c r="AQ327" t="str">
        <f t="shared" si="8"/>
        <v/>
      </c>
      <c r="AS327" t="str">
        <f t="shared" si="9"/>
        <v>wci_corp</v>
      </c>
    </row>
    <row r="328" spans="2:45" x14ac:dyDescent="0.2">
      <c r="B328" t="s">
        <v>202</v>
      </c>
      <c r="C328" s="31">
        <v>44043</v>
      </c>
      <c r="D328" s="15">
        <v>1078.4000000000001</v>
      </c>
      <c r="E328" s="15">
        <v>0</v>
      </c>
      <c r="F328" s="53" t="s">
        <v>134</v>
      </c>
      <c r="G328" t="s">
        <v>343</v>
      </c>
      <c r="H328" s="41" t="s">
        <v>136</v>
      </c>
      <c r="I328" t="s">
        <v>344</v>
      </c>
      <c r="J328" t="s">
        <v>190</v>
      </c>
      <c r="K328" t="s">
        <v>139</v>
      </c>
      <c r="L328" s="17"/>
      <c r="M328" s="17"/>
      <c r="N328" s="17" t="s">
        <v>345</v>
      </c>
      <c r="O328" s="36"/>
      <c r="P328" s="17"/>
      <c r="Q328" s="17"/>
      <c r="U328" t="s">
        <v>346</v>
      </c>
      <c r="V328" t="s">
        <v>346</v>
      </c>
      <c r="X328" s="31">
        <v>44049</v>
      </c>
      <c r="Y328" s="31">
        <v>44049</v>
      </c>
      <c r="AA328" s="31"/>
      <c r="AB328" t="s">
        <v>9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1</v>
      </c>
      <c r="AI328">
        <v>50020</v>
      </c>
      <c r="AJ328">
        <v>2111</v>
      </c>
      <c r="AK328">
        <v>0</v>
      </c>
      <c r="AL328">
        <v>19</v>
      </c>
      <c r="AO328" s="41"/>
      <c r="AP328" s="41"/>
      <c r="AQ328" t="str">
        <f t="shared" si="8"/>
        <v/>
      </c>
      <c r="AS328" t="str">
        <f t="shared" si="9"/>
        <v>wci_corp</v>
      </c>
    </row>
    <row r="329" spans="2:45" x14ac:dyDescent="0.2">
      <c r="B329" t="s">
        <v>207</v>
      </c>
      <c r="C329" s="31">
        <v>44043</v>
      </c>
      <c r="D329" s="15">
        <v>72</v>
      </c>
      <c r="E329" s="15">
        <v>0</v>
      </c>
      <c r="F329" s="53" t="s">
        <v>134</v>
      </c>
      <c r="G329" t="s">
        <v>343</v>
      </c>
      <c r="H329" s="41" t="s">
        <v>136</v>
      </c>
      <c r="I329" t="s">
        <v>344</v>
      </c>
      <c r="J329" t="s">
        <v>190</v>
      </c>
      <c r="K329" t="s">
        <v>139</v>
      </c>
      <c r="L329" s="17"/>
      <c r="M329" s="17"/>
      <c r="N329" s="17" t="s">
        <v>345</v>
      </c>
      <c r="O329" s="36"/>
      <c r="P329" s="17"/>
      <c r="Q329" s="17"/>
      <c r="U329" t="s">
        <v>346</v>
      </c>
      <c r="V329" t="s">
        <v>346</v>
      </c>
      <c r="X329" s="31">
        <v>44049</v>
      </c>
      <c r="Y329" s="31">
        <v>44049</v>
      </c>
      <c r="AA329" s="31"/>
      <c r="AB329" t="s">
        <v>9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1</v>
      </c>
      <c r="AI329">
        <v>52020</v>
      </c>
      <c r="AJ329">
        <v>2111</v>
      </c>
      <c r="AK329">
        <v>0</v>
      </c>
      <c r="AL329">
        <v>19</v>
      </c>
      <c r="AO329" s="41"/>
      <c r="AP329" s="41"/>
      <c r="AQ329" t="str">
        <f t="shared" si="8"/>
        <v/>
      </c>
      <c r="AS329" t="str">
        <f t="shared" si="9"/>
        <v>wci_corp</v>
      </c>
    </row>
    <row r="330" spans="2:45" x14ac:dyDescent="0.2">
      <c r="B330" t="s">
        <v>142</v>
      </c>
      <c r="C330" s="31">
        <v>44043</v>
      </c>
      <c r="D330" s="15">
        <v>725</v>
      </c>
      <c r="E330" s="15">
        <v>0</v>
      </c>
      <c r="F330" s="53" t="s">
        <v>134</v>
      </c>
      <c r="G330" t="s">
        <v>343</v>
      </c>
      <c r="H330" s="41" t="s">
        <v>136</v>
      </c>
      <c r="I330" t="s">
        <v>344</v>
      </c>
      <c r="J330" t="s">
        <v>190</v>
      </c>
      <c r="K330" t="s">
        <v>139</v>
      </c>
      <c r="L330" s="17"/>
      <c r="M330" s="17"/>
      <c r="N330" s="17" t="s">
        <v>347</v>
      </c>
      <c r="O330" s="36"/>
      <c r="P330" s="17"/>
      <c r="Q330" s="17"/>
      <c r="U330" t="s">
        <v>346</v>
      </c>
      <c r="V330" t="s">
        <v>346</v>
      </c>
      <c r="X330" s="31">
        <v>44049</v>
      </c>
      <c r="Y330" s="31">
        <v>44049</v>
      </c>
      <c r="AA330" s="31"/>
      <c r="AB330" t="s">
        <v>9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1</v>
      </c>
      <c r="AI330">
        <v>70165</v>
      </c>
      <c r="AJ330">
        <v>2111</v>
      </c>
      <c r="AK330">
        <v>0</v>
      </c>
      <c r="AL330">
        <v>19</v>
      </c>
      <c r="AO330" s="41"/>
      <c r="AP330" s="41"/>
      <c r="AQ330" t="str">
        <f t="shared" si="8"/>
        <v/>
      </c>
      <c r="AS330" t="str">
        <f t="shared" si="9"/>
        <v>wci_corp</v>
      </c>
    </row>
    <row r="331" spans="2:45" x14ac:dyDescent="0.2">
      <c r="B331" t="s">
        <v>142</v>
      </c>
      <c r="C331" s="31">
        <v>44043</v>
      </c>
      <c r="D331" s="15">
        <v>25</v>
      </c>
      <c r="E331" s="15">
        <v>0</v>
      </c>
      <c r="F331" s="53" t="s">
        <v>134</v>
      </c>
      <c r="G331" t="s">
        <v>343</v>
      </c>
      <c r="H331" s="41" t="s">
        <v>136</v>
      </c>
      <c r="I331" t="s">
        <v>344</v>
      </c>
      <c r="J331" t="s">
        <v>190</v>
      </c>
      <c r="K331" t="s">
        <v>139</v>
      </c>
      <c r="L331" s="17"/>
      <c r="M331" s="17"/>
      <c r="N331" s="17" t="s">
        <v>347</v>
      </c>
      <c r="O331" s="36"/>
      <c r="P331" s="17"/>
      <c r="Q331" s="17"/>
      <c r="U331" t="s">
        <v>346</v>
      </c>
      <c r="V331" t="s">
        <v>346</v>
      </c>
      <c r="X331" s="31">
        <v>44049</v>
      </c>
      <c r="Y331" s="31">
        <v>44049</v>
      </c>
      <c r="AA331" s="31"/>
      <c r="AB331" t="s">
        <v>9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1</v>
      </c>
      <c r="AI331">
        <v>70165</v>
      </c>
      <c r="AJ331">
        <v>2111</v>
      </c>
      <c r="AK331">
        <v>0</v>
      </c>
      <c r="AL331">
        <v>19</v>
      </c>
      <c r="AO331" s="41"/>
      <c r="AP331" s="41"/>
      <c r="AQ331" t="str">
        <f t="shared" si="8"/>
        <v/>
      </c>
      <c r="AS331" t="str">
        <f t="shared" si="9"/>
        <v>wci_corp</v>
      </c>
    </row>
    <row r="332" spans="2:45" x14ac:dyDescent="0.2">
      <c r="B332" t="s">
        <v>142</v>
      </c>
      <c r="C332" s="31">
        <v>44043</v>
      </c>
      <c r="D332" s="15">
        <v>25</v>
      </c>
      <c r="E332" s="15">
        <v>0</v>
      </c>
      <c r="F332" s="53" t="s">
        <v>134</v>
      </c>
      <c r="G332" t="s">
        <v>343</v>
      </c>
      <c r="H332" s="41" t="s">
        <v>136</v>
      </c>
      <c r="I332" t="s">
        <v>344</v>
      </c>
      <c r="J332" t="s">
        <v>190</v>
      </c>
      <c r="K332" t="s">
        <v>139</v>
      </c>
      <c r="L332" s="17"/>
      <c r="M332" s="17"/>
      <c r="N332" s="17" t="s">
        <v>347</v>
      </c>
      <c r="O332" s="36"/>
      <c r="P332" s="17"/>
      <c r="Q332" s="17"/>
      <c r="U332" t="s">
        <v>346</v>
      </c>
      <c r="V332" t="s">
        <v>346</v>
      </c>
      <c r="X332" s="31">
        <v>44049</v>
      </c>
      <c r="Y332" s="31">
        <v>44049</v>
      </c>
      <c r="AA332" s="31"/>
      <c r="AB332" t="s">
        <v>9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1</v>
      </c>
      <c r="AI332">
        <v>70165</v>
      </c>
      <c r="AJ332">
        <v>2111</v>
      </c>
      <c r="AK332">
        <v>0</v>
      </c>
      <c r="AL332">
        <v>19</v>
      </c>
      <c r="AO332" s="41"/>
      <c r="AP332" s="41"/>
      <c r="AQ332" t="str">
        <f t="shared" si="8"/>
        <v/>
      </c>
      <c r="AS332" t="str">
        <f t="shared" si="9"/>
        <v>wci_corp</v>
      </c>
    </row>
    <row r="333" spans="2:45" x14ac:dyDescent="0.2">
      <c r="B333" t="s">
        <v>202</v>
      </c>
      <c r="C333" s="31">
        <v>44043</v>
      </c>
      <c r="D333" s="15">
        <v>1848.96</v>
      </c>
      <c r="E333" s="15">
        <v>0</v>
      </c>
      <c r="F333" s="53" t="s">
        <v>134</v>
      </c>
      <c r="G333" t="s">
        <v>348</v>
      </c>
      <c r="H333" s="41" t="s">
        <v>136</v>
      </c>
      <c r="I333" t="s">
        <v>349</v>
      </c>
      <c r="J333" t="s">
        <v>190</v>
      </c>
      <c r="K333" t="s">
        <v>139</v>
      </c>
      <c r="L333" s="17"/>
      <c r="M333" s="17"/>
      <c r="N333" s="17" t="s">
        <v>350</v>
      </c>
      <c r="O333" s="36"/>
      <c r="P333" s="17"/>
      <c r="Q333" s="17"/>
      <c r="U333" t="s">
        <v>351</v>
      </c>
      <c r="V333" t="s">
        <v>351</v>
      </c>
      <c r="X333" s="31">
        <v>44049</v>
      </c>
      <c r="Y333" s="31">
        <v>44049</v>
      </c>
      <c r="AA333" s="31"/>
      <c r="AB333" t="s">
        <v>9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1</v>
      </c>
      <c r="AI333">
        <v>50020</v>
      </c>
      <c r="AJ333">
        <v>2111</v>
      </c>
      <c r="AK333">
        <v>0</v>
      </c>
      <c r="AL333">
        <v>19</v>
      </c>
      <c r="AO333" s="41"/>
      <c r="AP333" s="41"/>
      <c r="AQ333" t="str">
        <f t="shared" si="8"/>
        <v/>
      </c>
      <c r="AS333" t="str">
        <f t="shared" si="9"/>
        <v>wci_corp</v>
      </c>
    </row>
    <row r="334" spans="2:45" x14ac:dyDescent="0.2">
      <c r="B334" t="s">
        <v>202</v>
      </c>
      <c r="C334" s="31">
        <v>44043</v>
      </c>
      <c r="D334" s="15">
        <v>1062.4000000000001</v>
      </c>
      <c r="E334" s="15">
        <v>0</v>
      </c>
      <c r="F334" s="53" t="s">
        <v>134</v>
      </c>
      <c r="G334" t="s">
        <v>348</v>
      </c>
      <c r="H334" s="41" t="s">
        <v>136</v>
      </c>
      <c r="I334" t="s">
        <v>349</v>
      </c>
      <c r="J334" t="s">
        <v>190</v>
      </c>
      <c r="K334" t="s">
        <v>139</v>
      </c>
      <c r="L334" s="17"/>
      <c r="M334" s="17"/>
      <c r="N334" s="17" t="s">
        <v>350</v>
      </c>
      <c r="O334" s="36"/>
      <c r="P334" s="17"/>
      <c r="Q334" s="17"/>
      <c r="U334" t="s">
        <v>351</v>
      </c>
      <c r="V334" t="s">
        <v>351</v>
      </c>
      <c r="X334" s="31">
        <v>44049</v>
      </c>
      <c r="Y334" s="31">
        <v>44049</v>
      </c>
      <c r="AA334" s="31"/>
      <c r="AB334" t="s">
        <v>9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1</v>
      </c>
      <c r="AI334">
        <v>50020</v>
      </c>
      <c r="AJ334">
        <v>2111</v>
      </c>
      <c r="AK334">
        <v>0</v>
      </c>
      <c r="AL334">
        <v>19</v>
      </c>
      <c r="AO334" s="41"/>
      <c r="AP334" s="41"/>
      <c r="AQ334" t="str">
        <f t="shared" si="8"/>
        <v/>
      </c>
      <c r="AS334" t="str">
        <f t="shared" si="9"/>
        <v>wci_corp</v>
      </c>
    </row>
    <row r="335" spans="2:45" x14ac:dyDescent="0.2">
      <c r="B335" t="s">
        <v>142</v>
      </c>
      <c r="C335" s="31">
        <v>44043</v>
      </c>
      <c r="D335" s="15">
        <v>725</v>
      </c>
      <c r="E335" s="15">
        <v>0</v>
      </c>
      <c r="F335" s="53" t="s">
        <v>134</v>
      </c>
      <c r="G335" t="s">
        <v>348</v>
      </c>
      <c r="H335" s="41" t="s">
        <v>136</v>
      </c>
      <c r="I335" t="s">
        <v>349</v>
      </c>
      <c r="J335" t="s">
        <v>190</v>
      </c>
      <c r="K335" t="s">
        <v>139</v>
      </c>
      <c r="L335" s="17"/>
      <c r="M335" s="17"/>
      <c r="N335" s="17" t="s">
        <v>352</v>
      </c>
      <c r="O335" s="36"/>
      <c r="P335" s="17"/>
      <c r="Q335" s="17"/>
      <c r="U335" t="s">
        <v>351</v>
      </c>
      <c r="V335" t="s">
        <v>351</v>
      </c>
      <c r="X335" s="31">
        <v>44049</v>
      </c>
      <c r="Y335" s="31">
        <v>44049</v>
      </c>
      <c r="AA335" s="31"/>
      <c r="AB335" t="s">
        <v>9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1</v>
      </c>
      <c r="AI335">
        <v>70165</v>
      </c>
      <c r="AJ335">
        <v>2111</v>
      </c>
      <c r="AK335">
        <v>0</v>
      </c>
      <c r="AL335">
        <v>19</v>
      </c>
      <c r="AO335" s="41"/>
      <c r="AP335" s="41"/>
      <c r="AQ335" t="str">
        <f t="shared" si="8"/>
        <v/>
      </c>
      <c r="AS335" t="str">
        <f t="shared" si="9"/>
        <v>wci_corp</v>
      </c>
    </row>
    <row r="336" spans="2:45" x14ac:dyDescent="0.2">
      <c r="B336" t="s">
        <v>142</v>
      </c>
      <c r="C336" s="31">
        <v>44043</v>
      </c>
      <c r="D336" s="15">
        <v>25</v>
      </c>
      <c r="E336" s="15">
        <v>0</v>
      </c>
      <c r="F336" s="53" t="s">
        <v>134</v>
      </c>
      <c r="G336" t="s">
        <v>348</v>
      </c>
      <c r="H336" s="41" t="s">
        <v>136</v>
      </c>
      <c r="I336" t="s">
        <v>349</v>
      </c>
      <c r="J336" t="s">
        <v>190</v>
      </c>
      <c r="K336" t="s">
        <v>139</v>
      </c>
      <c r="L336" s="17"/>
      <c r="M336" s="17"/>
      <c r="N336" s="17" t="s">
        <v>352</v>
      </c>
      <c r="O336" s="36"/>
      <c r="P336" s="17"/>
      <c r="Q336" s="17"/>
      <c r="U336" t="s">
        <v>351</v>
      </c>
      <c r="V336" t="s">
        <v>351</v>
      </c>
      <c r="X336" s="31">
        <v>44049</v>
      </c>
      <c r="Y336" s="31">
        <v>44049</v>
      </c>
      <c r="AA336" s="31"/>
      <c r="AB336" t="s">
        <v>9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1</v>
      </c>
      <c r="AI336">
        <v>70165</v>
      </c>
      <c r="AJ336">
        <v>2111</v>
      </c>
      <c r="AK336">
        <v>0</v>
      </c>
      <c r="AL336">
        <v>19</v>
      </c>
      <c r="AO336" s="41"/>
      <c r="AP336" s="41"/>
      <c r="AQ336" t="str">
        <f t="shared" si="8"/>
        <v/>
      </c>
      <c r="AS336" t="str">
        <f t="shared" si="9"/>
        <v>wci_corp</v>
      </c>
    </row>
    <row r="337" spans="2:45" x14ac:dyDescent="0.2">
      <c r="B337" t="s">
        <v>142</v>
      </c>
      <c r="C337" s="31">
        <v>44043</v>
      </c>
      <c r="D337" s="15">
        <v>25</v>
      </c>
      <c r="E337" s="15">
        <v>0</v>
      </c>
      <c r="F337" s="53" t="s">
        <v>134</v>
      </c>
      <c r="G337" t="s">
        <v>348</v>
      </c>
      <c r="H337" s="41" t="s">
        <v>136</v>
      </c>
      <c r="I337" t="s">
        <v>349</v>
      </c>
      <c r="J337" t="s">
        <v>190</v>
      </c>
      <c r="K337" t="s">
        <v>139</v>
      </c>
      <c r="L337" s="17"/>
      <c r="M337" s="17"/>
      <c r="N337" s="17" t="s">
        <v>352</v>
      </c>
      <c r="O337" s="36"/>
      <c r="P337" s="17"/>
      <c r="Q337" s="17"/>
      <c r="U337" t="s">
        <v>351</v>
      </c>
      <c r="V337" t="s">
        <v>351</v>
      </c>
      <c r="X337" s="31">
        <v>44049</v>
      </c>
      <c r="Y337" s="31">
        <v>44049</v>
      </c>
      <c r="AA337" s="31"/>
      <c r="AB337" t="s">
        <v>9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1</v>
      </c>
      <c r="AI337">
        <v>70165</v>
      </c>
      <c r="AJ337">
        <v>2111</v>
      </c>
      <c r="AK337">
        <v>0</v>
      </c>
      <c r="AL337">
        <v>19</v>
      </c>
      <c r="AO337" s="41"/>
      <c r="AP337" s="41"/>
      <c r="AQ337" t="str">
        <f t="shared" si="8"/>
        <v/>
      </c>
      <c r="AS337" t="str">
        <f t="shared" si="9"/>
        <v>wci_corp</v>
      </c>
    </row>
    <row r="338" spans="2:45" x14ac:dyDescent="0.2">
      <c r="B338" t="s">
        <v>218</v>
      </c>
      <c r="C338" s="31">
        <v>44043</v>
      </c>
      <c r="D338" s="15">
        <v>42</v>
      </c>
      <c r="E338" s="15">
        <v>0</v>
      </c>
      <c r="F338" s="53" t="s">
        <v>134</v>
      </c>
      <c r="G338" t="s">
        <v>353</v>
      </c>
      <c r="H338" s="41" t="s">
        <v>136</v>
      </c>
      <c r="I338" t="s">
        <v>354</v>
      </c>
      <c r="J338" t="s">
        <v>190</v>
      </c>
      <c r="K338" t="s">
        <v>139</v>
      </c>
      <c r="L338" s="17"/>
      <c r="M338" s="17"/>
      <c r="N338" s="17" t="s">
        <v>336</v>
      </c>
      <c r="O338" s="36"/>
      <c r="P338" s="17"/>
      <c r="Q338" s="17"/>
      <c r="U338" t="s">
        <v>355</v>
      </c>
      <c r="V338" t="s">
        <v>355</v>
      </c>
      <c r="X338" s="31">
        <v>44049</v>
      </c>
      <c r="Y338" s="31">
        <v>44050</v>
      </c>
      <c r="AA338" s="31"/>
      <c r="AB338" t="s">
        <v>9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1</v>
      </c>
      <c r="AI338">
        <v>57125</v>
      </c>
      <c r="AJ338">
        <v>2111</v>
      </c>
      <c r="AK338">
        <v>0</v>
      </c>
      <c r="AL338">
        <v>19</v>
      </c>
      <c r="AO338" s="41"/>
      <c r="AP338" s="41"/>
      <c r="AQ338" t="str">
        <f t="shared" si="8"/>
        <v/>
      </c>
      <c r="AS338" t="str">
        <f t="shared" si="9"/>
        <v>wci_corp</v>
      </c>
    </row>
    <row r="339" spans="2:45" x14ac:dyDescent="0.2">
      <c r="B339" t="s">
        <v>202</v>
      </c>
      <c r="C339" s="31">
        <v>44074</v>
      </c>
      <c r="D339" s="15">
        <v>437.12</v>
      </c>
      <c r="E339" s="15">
        <v>0</v>
      </c>
      <c r="F339" s="53" t="s">
        <v>134</v>
      </c>
      <c r="G339" t="s">
        <v>356</v>
      </c>
      <c r="H339" s="41" t="s">
        <v>136</v>
      </c>
      <c r="I339" t="s">
        <v>357</v>
      </c>
      <c r="J339" t="s">
        <v>138</v>
      </c>
      <c r="K339" t="s">
        <v>139</v>
      </c>
      <c r="L339" s="17"/>
      <c r="M339" s="17"/>
      <c r="N339" s="17" t="s">
        <v>358</v>
      </c>
      <c r="O339" s="36"/>
      <c r="P339" s="17"/>
      <c r="Q339" s="17"/>
      <c r="U339" t="s">
        <v>359</v>
      </c>
      <c r="V339" t="s">
        <v>359</v>
      </c>
      <c r="X339" s="31">
        <v>44077</v>
      </c>
      <c r="Y339" s="31">
        <v>44077</v>
      </c>
      <c r="AA339" s="31"/>
      <c r="AB339" t="s">
        <v>9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1</v>
      </c>
      <c r="AI339">
        <v>50020</v>
      </c>
      <c r="AJ339">
        <v>2111</v>
      </c>
      <c r="AK339">
        <v>0</v>
      </c>
      <c r="AL339">
        <v>19</v>
      </c>
      <c r="AO339" s="41"/>
      <c r="AP339" s="41"/>
      <c r="AQ339" t="str">
        <f t="shared" si="8"/>
        <v/>
      </c>
      <c r="AS339" t="str">
        <f t="shared" si="9"/>
        <v>wci_corp</v>
      </c>
    </row>
    <row r="340" spans="2:45" x14ac:dyDescent="0.2">
      <c r="B340" t="s">
        <v>202</v>
      </c>
      <c r="C340" s="31">
        <v>44074</v>
      </c>
      <c r="D340" s="15">
        <v>769.68</v>
      </c>
      <c r="E340" s="15">
        <v>0</v>
      </c>
      <c r="F340" s="53" t="s">
        <v>134</v>
      </c>
      <c r="G340" t="s">
        <v>356</v>
      </c>
      <c r="H340" s="41" t="s">
        <v>136</v>
      </c>
      <c r="I340" t="s">
        <v>357</v>
      </c>
      <c r="J340" t="s">
        <v>138</v>
      </c>
      <c r="K340" t="s">
        <v>139</v>
      </c>
      <c r="L340" s="17"/>
      <c r="M340" s="17"/>
      <c r="N340" s="17" t="s">
        <v>358</v>
      </c>
      <c r="O340" s="36"/>
      <c r="P340" s="17"/>
      <c r="Q340" s="17"/>
      <c r="U340" t="s">
        <v>359</v>
      </c>
      <c r="V340" t="s">
        <v>359</v>
      </c>
      <c r="X340" s="31">
        <v>44077</v>
      </c>
      <c r="Y340" s="31">
        <v>44077</v>
      </c>
      <c r="AA340" s="31"/>
      <c r="AB340" t="s">
        <v>9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1</v>
      </c>
      <c r="AI340">
        <v>50020</v>
      </c>
      <c r="AJ340">
        <v>2111</v>
      </c>
      <c r="AK340">
        <v>0</v>
      </c>
      <c r="AL340">
        <v>19</v>
      </c>
      <c r="AO340" s="41"/>
      <c r="AP340" s="41"/>
      <c r="AQ340" t="str">
        <f t="shared" si="8"/>
        <v/>
      </c>
      <c r="AS340" t="str">
        <f t="shared" si="9"/>
        <v>wci_corp</v>
      </c>
    </row>
    <row r="341" spans="2:45" x14ac:dyDescent="0.2">
      <c r="B341" t="s">
        <v>142</v>
      </c>
      <c r="C341" s="31">
        <v>44074</v>
      </c>
      <c r="D341" s="15">
        <v>700</v>
      </c>
      <c r="E341" s="15">
        <v>0</v>
      </c>
      <c r="F341" s="53" t="s">
        <v>134</v>
      </c>
      <c r="G341" t="s">
        <v>356</v>
      </c>
      <c r="H341" s="41" t="s">
        <v>136</v>
      </c>
      <c r="I341" t="s">
        <v>357</v>
      </c>
      <c r="J341" t="s">
        <v>138</v>
      </c>
      <c r="K341" t="s">
        <v>139</v>
      </c>
      <c r="L341" s="17"/>
      <c r="M341" s="17"/>
      <c r="N341" s="17" t="s">
        <v>360</v>
      </c>
      <c r="O341" s="36"/>
      <c r="P341" s="17"/>
      <c r="Q341" s="17"/>
      <c r="U341" t="s">
        <v>359</v>
      </c>
      <c r="V341" t="s">
        <v>359</v>
      </c>
      <c r="X341" s="31">
        <v>44077</v>
      </c>
      <c r="Y341" s="31">
        <v>44077</v>
      </c>
      <c r="AA341" s="31"/>
      <c r="AB341" t="s">
        <v>9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1</v>
      </c>
      <c r="AI341">
        <v>70165</v>
      </c>
      <c r="AJ341">
        <v>2111</v>
      </c>
      <c r="AK341">
        <v>0</v>
      </c>
      <c r="AL341">
        <v>19</v>
      </c>
      <c r="AO341" s="41"/>
      <c r="AP341" s="41"/>
      <c r="AQ341" t="str">
        <f t="shared" ref="AQ341:AQ404" si="10">IF(LEFT(U341,2)="VO",U341,"")</f>
        <v/>
      </c>
      <c r="AS341" t="str">
        <f t="shared" ref="AS341:AS404" si="11">IF(RIGHT(K341,2)="IC",IF(OR(AB341="wci_canada",AB341="wci_can_corp"),"wci_can_Corp","wci_corp"),AB341)</f>
        <v>wci_corp</v>
      </c>
    </row>
    <row r="342" spans="2:45" x14ac:dyDescent="0.2">
      <c r="B342" t="s">
        <v>142</v>
      </c>
      <c r="C342" s="31">
        <v>44074</v>
      </c>
      <c r="D342" s="15">
        <v>25</v>
      </c>
      <c r="E342" s="15">
        <v>0</v>
      </c>
      <c r="F342" s="53" t="s">
        <v>134</v>
      </c>
      <c r="G342" t="s">
        <v>356</v>
      </c>
      <c r="H342" s="41" t="s">
        <v>136</v>
      </c>
      <c r="I342" t="s">
        <v>357</v>
      </c>
      <c r="J342" t="s">
        <v>138</v>
      </c>
      <c r="K342" t="s">
        <v>139</v>
      </c>
      <c r="L342" s="17"/>
      <c r="M342" s="17"/>
      <c r="N342" s="17" t="s">
        <v>360</v>
      </c>
      <c r="O342" s="36"/>
      <c r="P342" s="17"/>
      <c r="Q342" s="17"/>
      <c r="U342" t="s">
        <v>359</v>
      </c>
      <c r="V342" t="s">
        <v>359</v>
      </c>
      <c r="X342" s="31">
        <v>44077</v>
      </c>
      <c r="Y342" s="31">
        <v>44077</v>
      </c>
      <c r="AA342" s="31"/>
      <c r="AB342" t="s">
        <v>9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1</v>
      </c>
      <c r="AI342">
        <v>70165</v>
      </c>
      <c r="AJ342">
        <v>2111</v>
      </c>
      <c r="AK342">
        <v>0</v>
      </c>
      <c r="AL342">
        <v>19</v>
      </c>
      <c r="AO342" s="41"/>
      <c r="AP342" s="41"/>
      <c r="AQ342" t="str">
        <f t="shared" si="10"/>
        <v/>
      </c>
      <c r="AS342" t="str">
        <f t="shared" si="11"/>
        <v>wci_corp</v>
      </c>
    </row>
    <row r="343" spans="2:45" x14ac:dyDescent="0.2">
      <c r="B343" t="s">
        <v>142</v>
      </c>
      <c r="C343" s="31">
        <v>44074</v>
      </c>
      <c r="D343" s="15">
        <v>25</v>
      </c>
      <c r="E343" s="15">
        <v>0</v>
      </c>
      <c r="F343" s="53" t="s">
        <v>134</v>
      </c>
      <c r="G343" t="s">
        <v>356</v>
      </c>
      <c r="H343" s="41" t="s">
        <v>136</v>
      </c>
      <c r="I343" t="s">
        <v>357</v>
      </c>
      <c r="J343" t="s">
        <v>138</v>
      </c>
      <c r="K343" t="s">
        <v>139</v>
      </c>
      <c r="L343" s="17"/>
      <c r="M343" s="17"/>
      <c r="N343" s="17" t="s">
        <v>360</v>
      </c>
      <c r="O343" s="36"/>
      <c r="P343" s="17"/>
      <c r="Q343" s="17"/>
      <c r="U343" t="s">
        <v>359</v>
      </c>
      <c r="V343" t="s">
        <v>359</v>
      </c>
      <c r="X343" s="31">
        <v>44077</v>
      </c>
      <c r="Y343" s="31">
        <v>44077</v>
      </c>
      <c r="AA343" s="31"/>
      <c r="AB343" t="s">
        <v>9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1</v>
      </c>
      <c r="AI343">
        <v>70165</v>
      </c>
      <c r="AJ343">
        <v>2111</v>
      </c>
      <c r="AK343">
        <v>0</v>
      </c>
      <c r="AL343">
        <v>19</v>
      </c>
      <c r="AO343" s="41"/>
      <c r="AP343" s="41"/>
      <c r="AQ343" t="str">
        <f t="shared" si="10"/>
        <v/>
      </c>
      <c r="AS343" t="str">
        <f t="shared" si="11"/>
        <v>wci_corp</v>
      </c>
    </row>
    <row r="344" spans="2:45" x14ac:dyDescent="0.2">
      <c r="B344" t="s">
        <v>202</v>
      </c>
      <c r="C344" s="31">
        <v>44074</v>
      </c>
      <c r="D344" s="15">
        <v>655.68</v>
      </c>
      <c r="E344" s="15">
        <v>0</v>
      </c>
      <c r="F344" s="53" t="s">
        <v>134</v>
      </c>
      <c r="G344" t="s">
        <v>361</v>
      </c>
      <c r="H344" s="41" t="s">
        <v>136</v>
      </c>
      <c r="I344" t="s">
        <v>362</v>
      </c>
      <c r="J344" t="s">
        <v>138</v>
      </c>
      <c r="K344" t="s">
        <v>139</v>
      </c>
      <c r="L344" s="17"/>
      <c r="M344" s="17"/>
      <c r="N344" s="17" t="s">
        <v>363</v>
      </c>
      <c r="O344" s="36"/>
      <c r="P344" s="17"/>
      <c r="Q344" s="17"/>
      <c r="U344" t="s">
        <v>364</v>
      </c>
      <c r="V344" t="s">
        <v>364</v>
      </c>
      <c r="X344" s="31">
        <v>44077</v>
      </c>
      <c r="Y344" s="31">
        <v>44077</v>
      </c>
      <c r="AA344" s="31"/>
      <c r="AB344" t="s">
        <v>9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1</v>
      </c>
      <c r="AI344">
        <v>50020</v>
      </c>
      <c r="AJ344">
        <v>2111</v>
      </c>
      <c r="AK344">
        <v>0</v>
      </c>
      <c r="AL344">
        <v>19</v>
      </c>
      <c r="AO344" s="41"/>
      <c r="AP344" s="41"/>
      <c r="AQ344" t="str">
        <f t="shared" si="10"/>
        <v/>
      </c>
      <c r="AS344" t="str">
        <f t="shared" si="11"/>
        <v>wci_corp</v>
      </c>
    </row>
    <row r="345" spans="2:45" x14ac:dyDescent="0.2">
      <c r="B345" t="s">
        <v>142</v>
      </c>
      <c r="C345" s="31">
        <v>44074</v>
      </c>
      <c r="D345" s="15">
        <v>700</v>
      </c>
      <c r="E345" s="15">
        <v>0</v>
      </c>
      <c r="F345" s="53" t="s">
        <v>134</v>
      </c>
      <c r="G345" t="s">
        <v>361</v>
      </c>
      <c r="H345" s="41" t="s">
        <v>136</v>
      </c>
      <c r="I345" t="s">
        <v>362</v>
      </c>
      <c r="J345" t="s">
        <v>138</v>
      </c>
      <c r="K345" t="s">
        <v>139</v>
      </c>
      <c r="L345" s="17"/>
      <c r="M345" s="17"/>
      <c r="N345" s="17" t="s">
        <v>365</v>
      </c>
      <c r="O345" s="36"/>
      <c r="P345" s="17"/>
      <c r="Q345" s="17"/>
      <c r="U345" t="s">
        <v>364</v>
      </c>
      <c r="V345" t="s">
        <v>364</v>
      </c>
      <c r="X345" s="31">
        <v>44077</v>
      </c>
      <c r="Y345" s="31">
        <v>44077</v>
      </c>
      <c r="AA345" s="31"/>
      <c r="AB345" t="s">
        <v>9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1</v>
      </c>
      <c r="AI345">
        <v>70165</v>
      </c>
      <c r="AJ345">
        <v>2111</v>
      </c>
      <c r="AK345">
        <v>0</v>
      </c>
      <c r="AL345">
        <v>19</v>
      </c>
      <c r="AO345" s="41"/>
      <c r="AP345" s="41"/>
      <c r="AQ345" t="str">
        <f t="shared" si="10"/>
        <v/>
      </c>
      <c r="AS345" t="str">
        <f t="shared" si="11"/>
        <v>wci_corp</v>
      </c>
    </row>
    <row r="346" spans="2:45" x14ac:dyDescent="0.2">
      <c r="B346" t="s">
        <v>142</v>
      </c>
      <c r="C346" s="31">
        <v>44074</v>
      </c>
      <c r="D346" s="15">
        <v>25</v>
      </c>
      <c r="E346" s="15">
        <v>0</v>
      </c>
      <c r="F346" s="53" t="s">
        <v>134</v>
      </c>
      <c r="G346" t="s">
        <v>361</v>
      </c>
      <c r="H346" s="41" t="s">
        <v>136</v>
      </c>
      <c r="I346" t="s">
        <v>362</v>
      </c>
      <c r="J346" t="s">
        <v>138</v>
      </c>
      <c r="K346" t="s">
        <v>139</v>
      </c>
      <c r="L346" s="17"/>
      <c r="M346" s="17"/>
      <c r="N346" s="17" t="s">
        <v>365</v>
      </c>
      <c r="O346" s="36"/>
      <c r="P346" s="17"/>
      <c r="Q346" s="17"/>
      <c r="U346" t="s">
        <v>364</v>
      </c>
      <c r="V346" t="s">
        <v>364</v>
      </c>
      <c r="X346" s="31">
        <v>44077</v>
      </c>
      <c r="Y346" s="31">
        <v>44077</v>
      </c>
      <c r="AA346" s="31"/>
      <c r="AB346" t="s">
        <v>9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1</v>
      </c>
      <c r="AI346">
        <v>70165</v>
      </c>
      <c r="AJ346">
        <v>2111</v>
      </c>
      <c r="AK346">
        <v>0</v>
      </c>
      <c r="AL346">
        <v>19</v>
      </c>
      <c r="AO346" s="41"/>
      <c r="AP346" s="41"/>
      <c r="AQ346" t="str">
        <f t="shared" si="10"/>
        <v/>
      </c>
      <c r="AS346" t="str">
        <f t="shared" si="11"/>
        <v>wci_corp</v>
      </c>
    </row>
    <row r="347" spans="2:45" x14ac:dyDescent="0.2">
      <c r="B347" t="s">
        <v>142</v>
      </c>
      <c r="C347" s="31">
        <v>44074</v>
      </c>
      <c r="D347" s="15">
        <v>25</v>
      </c>
      <c r="E347" s="15">
        <v>0</v>
      </c>
      <c r="F347" s="53" t="s">
        <v>134</v>
      </c>
      <c r="G347" t="s">
        <v>361</v>
      </c>
      <c r="H347" s="41" t="s">
        <v>136</v>
      </c>
      <c r="I347" t="s">
        <v>362</v>
      </c>
      <c r="J347" t="s">
        <v>138</v>
      </c>
      <c r="K347" t="s">
        <v>139</v>
      </c>
      <c r="L347" s="17"/>
      <c r="M347" s="17"/>
      <c r="N347" s="17" t="s">
        <v>365</v>
      </c>
      <c r="O347" s="36"/>
      <c r="P347" s="17"/>
      <c r="Q347" s="17"/>
      <c r="U347" t="s">
        <v>364</v>
      </c>
      <c r="V347" t="s">
        <v>364</v>
      </c>
      <c r="X347" s="31">
        <v>44077</v>
      </c>
      <c r="Y347" s="31">
        <v>44077</v>
      </c>
      <c r="AA347" s="31"/>
      <c r="AB347" t="s">
        <v>9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1</v>
      </c>
      <c r="AI347">
        <v>70165</v>
      </c>
      <c r="AJ347">
        <v>2111</v>
      </c>
      <c r="AK347">
        <v>0</v>
      </c>
      <c r="AL347">
        <v>19</v>
      </c>
      <c r="AO347" s="41"/>
      <c r="AP347" s="41"/>
      <c r="AQ347" t="str">
        <f t="shared" si="10"/>
        <v/>
      </c>
      <c r="AS347" t="str">
        <f t="shared" si="11"/>
        <v>wci_corp</v>
      </c>
    </row>
    <row r="348" spans="2:45" x14ac:dyDescent="0.2">
      <c r="B348" t="s">
        <v>218</v>
      </c>
      <c r="C348" s="31">
        <v>44074</v>
      </c>
      <c r="D348" s="15">
        <v>-166.28</v>
      </c>
      <c r="E348" s="15">
        <v>0</v>
      </c>
      <c r="F348" s="53" t="s">
        <v>134</v>
      </c>
      <c r="G348" t="s">
        <v>366</v>
      </c>
      <c r="H348" s="41" t="s">
        <v>136</v>
      </c>
      <c r="I348" t="s">
        <v>367</v>
      </c>
      <c r="J348" t="s">
        <v>368</v>
      </c>
      <c r="K348" t="s">
        <v>139</v>
      </c>
      <c r="L348" s="17"/>
      <c r="M348" s="17"/>
      <c r="N348" s="17" t="s">
        <v>369</v>
      </c>
      <c r="O348" s="36"/>
      <c r="P348" s="17"/>
      <c r="Q348" s="17"/>
      <c r="U348" t="s">
        <v>370</v>
      </c>
      <c r="V348" t="s">
        <v>370</v>
      </c>
      <c r="X348" s="31">
        <v>44078</v>
      </c>
      <c r="Y348" s="31">
        <v>44081</v>
      </c>
      <c r="AA348" s="31"/>
      <c r="AB348" t="s">
        <v>9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1</v>
      </c>
      <c r="AI348">
        <v>57125</v>
      </c>
      <c r="AJ348">
        <v>2111</v>
      </c>
      <c r="AK348">
        <v>0</v>
      </c>
      <c r="AL348">
        <v>19</v>
      </c>
      <c r="AO348" s="41"/>
      <c r="AP348" s="41"/>
      <c r="AQ348" t="str">
        <f t="shared" si="10"/>
        <v/>
      </c>
      <c r="AS348" t="str">
        <f t="shared" si="11"/>
        <v>wci_corp</v>
      </c>
    </row>
    <row r="349" spans="2:45" x14ac:dyDescent="0.2">
      <c r="B349" t="s">
        <v>202</v>
      </c>
      <c r="C349" s="31">
        <v>44104</v>
      </c>
      <c r="D349" s="15">
        <v>225.84</v>
      </c>
      <c r="E349" s="15">
        <v>0</v>
      </c>
      <c r="F349" s="53" t="s">
        <v>134</v>
      </c>
      <c r="G349" t="s">
        <v>371</v>
      </c>
      <c r="H349" s="41" t="s">
        <v>136</v>
      </c>
      <c r="I349" t="s">
        <v>372</v>
      </c>
      <c r="J349" t="s">
        <v>138</v>
      </c>
      <c r="K349" t="s">
        <v>139</v>
      </c>
      <c r="L349" s="17"/>
      <c r="M349" s="17"/>
      <c r="N349" s="17" t="s">
        <v>373</v>
      </c>
      <c r="O349" s="36"/>
      <c r="P349" s="17"/>
      <c r="Q349" s="17"/>
      <c r="U349" t="s">
        <v>374</v>
      </c>
      <c r="V349" t="s">
        <v>374</v>
      </c>
      <c r="X349" s="31">
        <v>44109</v>
      </c>
      <c r="Y349" s="31">
        <v>44109</v>
      </c>
      <c r="AA349" s="31"/>
      <c r="AB349" t="s">
        <v>9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</v>
      </c>
      <c r="AI349">
        <v>50020</v>
      </c>
      <c r="AJ349">
        <v>2111</v>
      </c>
      <c r="AK349">
        <v>0</v>
      </c>
      <c r="AL349">
        <v>19</v>
      </c>
      <c r="AO349" s="41"/>
      <c r="AP349" s="41"/>
      <c r="AQ349" t="str">
        <f t="shared" si="10"/>
        <v/>
      </c>
      <c r="AS349" t="str">
        <f t="shared" si="11"/>
        <v>wci_corp</v>
      </c>
    </row>
    <row r="350" spans="2:45" x14ac:dyDescent="0.2">
      <c r="B350" t="s">
        <v>375</v>
      </c>
      <c r="C350" s="31">
        <v>44104</v>
      </c>
      <c r="D350" s="15">
        <v>700</v>
      </c>
      <c r="E350" s="15">
        <v>0</v>
      </c>
      <c r="F350" s="53" t="s">
        <v>134</v>
      </c>
      <c r="G350" t="s">
        <v>371</v>
      </c>
      <c r="H350" s="41" t="s">
        <v>136</v>
      </c>
      <c r="I350" t="s">
        <v>372</v>
      </c>
      <c r="J350" t="s">
        <v>138</v>
      </c>
      <c r="K350" t="s">
        <v>139</v>
      </c>
      <c r="L350" s="17"/>
      <c r="M350" s="17"/>
      <c r="N350" s="17" t="s">
        <v>376</v>
      </c>
      <c r="O350" s="36"/>
      <c r="P350" s="17"/>
      <c r="Q350" s="17"/>
      <c r="U350" t="s">
        <v>374</v>
      </c>
      <c r="V350" t="s">
        <v>374</v>
      </c>
      <c r="X350" s="31">
        <v>44109</v>
      </c>
      <c r="Y350" s="31">
        <v>44109</v>
      </c>
      <c r="AA350" s="31"/>
      <c r="AB350" t="s">
        <v>9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1</v>
      </c>
      <c r="AI350">
        <v>70105</v>
      </c>
      <c r="AJ350">
        <v>2111</v>
      </c>
      <c r="AK350">
        <v>0</v>
      </c>
      <c r="AL350">
        <v>19</v>
      </c>
      <c r="AO350" s="41"/>
      <c r="AP350" s="41"/>
      <c r="AQ350" t="str">
        <f t="shared" si="10"/>
        <v/>
      </c>
      <c r="AS350" t="str">
        <f t="shared" si="11"/>
        <v>wci_corp</v>
      </c>
    </row>
    <row r="351" spans="2:45" x14ac:dyDescent="0.2">
      <c r="B351" t="s">
        <v>375</v>
      </c>
      <c r="C351" s="31">
        <v>44104</v>
      </c>
      <c r="D351" s="15">
        <v>25</v>
      </c>
      <c r="E351" s="15">
        <v>0</v>
      </c>
      <c r="F351" s="53" t="s">
        <v>134</v>
      </c>
      <c r="G351" t="s">
        <v>371</v>
      </c>
      <c r="H351" s="41" t="s">
        <v>136</v>
      </c>
      <c r="I351" t="s">
        <v>372</v>
      </c>
      <c r="J351" t="s">
        <v>138</v>
      </c>
      <c r="K351" t="s">
        <v>139</v>
      </c>
      <c r="L351" s="17"/>
      <c r="M351" s="17"/>
      <c r="N351" s="17" t="s">
        <v>376</v>
      </c>
      <c r="O351" s="36"/>
      <c r="P351" s="17"/>
      <c r="Q351" s="17"/>
      <c r="U351" t="s">
        <v>374</v>
      </c>
      <c r="V351" t="s">
        <v>374</v>
      </c>
      <c r="X351" s="31">
        <v>44109</v>
      </c>
      <c r="Y351" s="31">
        <v>44109</v>
      </c>
      <c r="AA351" s="31"/>
      <c r="AB351" t="s">
        <v>9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1</v>
      </c>
      <c r="AI351">
        <v>70105</v>
      </c>
      <c r="AJ351">
        <v>2111</v>
      </c>
      <c r="AK351">
        <v>0</v>
      </c>
      <c r="AL351">
        <v>19</v>
      </c>
      <c r="AO351" s="41"/>
      <c r="AP351" s="41"/>
      <c r="AQ351" t="str">
        <f t="shared" si="10"/>
        <v/>
      </c>
      <c r="AS351" t="str">
        <f t="shared" si="11"/>
        <v>wci_corp</v>
      </c>
    </row>
    <row r="352" spans="2:45" x14ac:dyDescent="0.2">
      <c r="B352" t="s">
        <v>375</v>
      </c>
      <c r="C352" s="31">
        <v>44104</v>
      </c>
      <c r="D352" s="15">
        <v>25</v>
      </c>
      <c r="E352" s="15">
        <v>0</v>
      </c>
      <c r="F352" s="53" t="s">
        <v>134</v>
      </c>
      <c r="G352" t="s">
        <v>371</v>
      </c>
      <c r="H352" s="41" t="s">
        <v>136</v>
      </c>
      <c r="I352" t="s">
        <v>372</v>
      </c>
      <c r="J352" t="s">
        <v>138</v>
      </c>
      <c r="K352" t="s">
        <v>139</v>
      </c>
      <c r="L352" s="17"/>
      <c r="M352" s="17"/>
      <c r="N352" s="17" t="s">
        <v>376</v>
      </c>
      <c r="O352" s="36"/>
      <c r="P352" s="17"/>
      <c r="Q352" s="17"/>
      <c r="U352" t="s">
        <v>374</v>
      </c>
      <c r="V352" t="s">
        <v>374</v>
      </c>
      <c r="X352" s="31">
        <v>44109</v>
      </c>
      <c r="Y352" s="31">
        <v>44109</v>
      </c>
      <c r="AA352" s="31"/>
      <c r="AB352" t="s">
        <v>9</v>
      </c>
      <c r="AC352">
        <v>0</v>
      </c>
      <c r="AD352">
        <v>0</v>
      </c>
      <c r="AE352">
        <v>0</v>
      </c>
      <c r="AF352">
        <v>0</v>
      </c>
      <c r="AG352">
        <v>0</v>
      </c>
      <c r="AH352">
        <v>1</v>
      </c>
      <c r="AI352">
        <v>70105</v>
      </c>
      <c r="AJ352">
        <v>2111</v>
      </c>
      <c r="AK352">
        <v>0</v>
      </c>
      <c r="AL352">
        <v>19</v>
      </c>
      <c r="AO352" s="41"/>
      <c r="AP352" s="41"/>
      <c r="AQ352" t="str">
        <f t="shared" si="10"/>
        <v/>
      </c>
      <c r="AS352" t="str">
        <f t="shared" si="11"/>
        <v>wci_corp</v>
      </c>
    </row>
    <row r="353" spans="2:45" x14ac:dyDescent="0.2">
      <c r="B353" t="s">
        <v>202</v>
      </c>
      <c r="C353" s="31">
        <v>44104</v>
      </c>
      <c r="D353" s="15">
        <v>443.68</v>
      </c>
      <c r="E353" s="15">
        <v>0</v>
      </c>
      <c r="F353" s="53" t="s">
        <v>134</v>
      </c>
      <c r="G353" t="s">
        <v>377</v>
      </c>
      <c r="H353" s="41" t="s">
        <v>136</v>
      </c>
      <c r="I353" t="s">
        <v>378</v>
      </c>
      <c r="J353" t="s">
        <v>138</v>
      </c>
      <c r="K353" t="s">
        <v>139</v>
      </c>
      <c r="L353" s="17"/>
      <c r="M353" s="17"/>
      <c r="N353" s="17" t="s">
        <v>379</v>
      </c>
      <c r="O353" s="36"/>
      <c r="P353" s="17"/>
      <c r="Q353" s="17"/>
      <c r="U353" t="s">
        <v>380</v>
      </c>
      <c r="V353" t="s">
        <v>380</v>
      </c>
      <c r="X353" s="31">
        <v>44109</v>
      </c>
      <c r="Y353" s="31">
        <v>44109</v>
      </c>
      <c r="AA353" s="31"/>
      <c r="AB353" t="s">
        <v>9</v>
      </c>
      <c r="AC353">
        <v>0</v>
      </c>
      <c r="AD353">
        <v>0</v>
      </c>
      <c r="AE353">
        <v>0</v>
      </c>
      <c r="AF353">
        <v>0</v>
      </c>
      <c r="AG353">
        <v>0</v>
      </c>
      <c r="AH353">
        <v>1</v>
      </c>
      <c r="AI353">
        <v>50020</v>
      </c>
      <c r="AJ353">
        <v>2111</v>
      </c>
      <c r="AK353">
        <v>0</v>
      </c>
      <c r="AL353">
        <v>19</v>
      </c>
      <c r="AO353" s="41"/>
      <c r="AP353" s="41"/>
      <c r="AQ353" t="str">
        <f t="shared" si="10"/>
        <v/>
      </c>
      <c r="AS353" t="str">
        <f t="shared" si="11"/>
        <v>wci_corp</v>
      </c>
    </row>
    <row r="354" spans="2:45" x14ac:dyDescent="0.2">
      <c r="B354" t="s">
        <v>202</v>
      </c>
      <c r="C354" s="31">
        <v>44104</v>
      </c>
      <c r="D354" s="15">
        <v>1224.8</v>
      </c>
      <c r="E354" s="15">
        <v>0</v>
      </c>
      <c r="F354" s="53" t="s">
        <v>134</v>
      </c>
      <c r="G354" t="s">
        <v>377</v>
      </c>
      <c r="H354" s="41" t="s">
        <v>136</v>
      </c>
      <c r="I354" t="s">
        <v>378</v>
      </c>
      <c r="J354" t="s">
        <v>138</v>
      </c>
      <c r="K354" t="s">
        <v>139</v>
      </c>
      <c r="L354" s="17"/>
      <c r="M354" s="17"/>
      <c r="N354" s="17" t="s">
        <v>379</v>
      </c>
      <c r="O354" s="36"/>
      <c r="P354" s="17"/>
      <c r="Q354" s="17"/>
      <c r="U354" t="s">
        <v>380</v>
      </c>
      <c r="V354" t="s">
        <v>380</v>
      </c>
      <c r="X354" s="31">
        <v>44109</v>
      </c>
      <c r="Y354" s="31">
        <v>44109</v>
      </c>
      <c r="AA354" s="31"/>
      <c r="AB354" t="s">
        <v>9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</v>
      </c>
      <c r="AI354">
        <v>50020</v>
      </c>
      <c r="AJ354">
        <v>2111</v>
      </c>
      <c r="AK354">
        <v>0</v>
      </c>
      <c r="AL354">
        <v>19</v>
      </c>
      <c r="AO354" s="41"/>
      <c r="AP354" s="41"/>
      <c r="AQ354" t="str">
        <f t="shared" si="10"/>
        <v/>
      </c>
      <c r="AS354" t="str">
        <f t="shared" si="11"/>
        <v>wci_corp</v>
      </c>
    </row>
    <row r="355" spans="2:45" x14ac:dyDescent="0.2">
      <c r="B355" t="s">
        <v>142</v>
      </c>
      <c r="C355" s="31">
        <v>44104</v>
      </c>
      <c r="D355" s="15">
        <v>700</v>
      </c>
      <c r="E355" s="15">
        <v>0</v>
      </c>
      <c r="F355" s="53" t="s">
        <v>134</v>
      </c>
      <c r="G355" t="s">
        <v>377</v>
      </c>
      <c r="H355" s="41" t="s">
        <v>136</v>
      </c>
      <c r="I355" t="s">
        <v>378</v>
      </c>
      <c r="J355" t="s">
        <v>138</v>
      </c>
      <c r="K355" t="s">
        <v>139</v>
      </c>
      <c r="L355" s="17"/>
      <c r="M355" s="17"/>
      <c r="N355" s="17" t="s">
        <v>381</v>
      </c>
      <c r="O355" s="36"/>
      <c r="P355" s="17"/>
      <c r="Q355" s="17"/>
      <c r="U355" t="s">
        <v>380</v>
      </c>
      <c r="V355" t="s">
        <v>380</v>
      </c>
      <c r="X355" s="31">
        <v>44109</v>
      </c>
      <c r="Y355" s="31">
        <v>44109</v>
      </c>
      <c r="AA355" s="31"/>
      <c r="AB355" t="s">
        <v>9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1</v>
      </c>
      <c r="AI355">
        <v>70165</v>
      </c>
      <c r="AJ355">
        <v>2111</v>
      </c>
      <c r="AK355">
        <v>0</v>
      </c>
      <c r="AL355">
        <v>19</v>
      </c>
      <c r="AO355" s="41"/>
      <c r="AP355" s="41"/>
      <c r="AQ355" t="str">
        <f t="shared" si="10"/>
        <v/>
      </c>
      <c r="AS355" t="str">
        <f t="shared" si="11"/>
        <v>wci_corp</v>
      </c>
    </row>
    <row r="356" spans="2:45" x14ac:dyDescent="0.2">
      <c r="B356" t="s">
        <v>142</v>
      </c>
      <c r="C356" s="31">
        <v>44104</v>
      </c>
      <c r="D356" s="15">
        <v>25</v>
      </c>
      <c r="E356" s="15">
        <v>0</v>
      </c>
      <c r="F356" s="53" t="s">
        <v>134</v>
      </c>
      <c r="G356" t="s">
        <v>377</v>
      </c>
      <c r="H356" s="41" t="s">
        <v>136</v>
      </c>
      <c r="I356" t="s">
        <v>378</v>
      </c>
      <c r="J356" t="s">
        <v>138</v>
      </c>
      <c r="K356" t="s">
        <v>139</v>
      </c>
      <c r="L356" s="17"/>
      <c r="M356" s="17"/>
      <c r="N356" s="17" t="s">
        <v>381</v>
      </c>
      <c r="O356" s="36"/>
      <c r="P356" s="17"/>
      <c r="Q356" s="17"/>
      <c r="U356" t="s">
        <v>380</v>
      </c>
      <c r="V356" t="s">
        <v>380</v>
      </c>
      <c r="X356" s="31">
        <v>44109</v>
      </c>
      <c r="Y356" s="31">
        <v>44109</v>
      </c>
      <c r="AA356" s="31"/>
      <c r="AB356" t="s">
        <v>9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1</v>
      </c>
      <c r="AI356">
        <v>70165</v>
      </c>
      <c r="AJ356">
        <v>2111</v>
      </c>
      <c r="AK356">
        <v>0</v>
      </c>
      <c r="AL356">
        <v>19</v>
      </c>
      <c r="AO356" s="41"/>
      <c r="AP356" s="41"/>
      <c r="AQ356" t="str">
        <f t="shared" si="10"/>
        <v/>
      </c>
      <c r="AS356" t="str">
        <f t="shared" si="11"/>
        <v>wci_corp</v>
      </c>
    </row>
    <row r="357" spans="2:45" x14ac:dyDescent="0.2">
      <c r="B357" t="s">
        <v>142</v>
      </c>
      <c r="C357" s="31">
        <v>44104</v>
      </c>
      <c r="D357" s="15">
        <v>25</v>
      </c>
      <c r="E357" s="15">
        <v>0</v>
      </c>
      <c r="F357" s="53" t="s">
        <v>134</v>
      </c>
      <c r="G357" t="s">
        <v>377</v>
      </c>
      <c r="H357" s="41" t="s">
        <v>136</v>
      </c>
      <c r="I357" t="s">
        <v>378</v>
      </c>
      <c r="J357" t="s">
        <v>138</v>
      </c>
      <c r="K357" t="s">
        <v>139</v>
      </c>
      <c r="L357" s="17"/>
      <c r="M357" s="17"/>
      <c r="N357" s="17" t="s">
        <v>381</v>
      </c>
      <c r="O357" s="36"/>
      <c r="P357" s="17"/>
      <c r="Q357" s="17"/>
      <c r="U357" t="s">
        <v>380</v>
      </c>
      <c r="V357" t="s">
        <v>380</v>
      </c>
      <c r="X357" s="31">
        <v>44109</v>
      </c>
      <c r="Y357" s="31">
        <v>44109</v>
      </c>
      <c r="AA357" s="31"/>
      <c r="AB357" t="s">
        <v>9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1</v>
      </c>
      <c r="AI357">
        <v>70165</v>
      </c>
      <c r="AJ357">
        <v>2111</v>
      </c>
      <c r="AK357">
        <v>0</v>
      </c>
      <c r="AL357">
        <v>19</v>
      </c>
      <c r="AO357" s="41"/>
      <c r="AP357" s="41"/>
      <c r="AQ357" t="str">
        <f t="shared" si="10"/>
        <v/>
      </c>
      <c r="AS357" t="str">
        <f t="shared" si="11"/>
        <v>wci_corp</v>
      </c>
    </row>
    <row r="358" spans="2:45" x14ac:dyDescent="0.2">
      <c r="B358" t="s">
        <v>202</v>
      </c>
      <c r="C358" s="31">
        <v>44104</v>
      </c>
      <c r="D358" s="15">
        <v>424</v>
      </c>
      <c r="E358" s="15">
        <v>0</v>
      </c>
      <c r="F358" s="53" t="s">
        <v>134</v>
      </c>
      <c r="G358" t="s">
        <v>382</v>
      </c>
      <c r="H358" s="41" t="s">
        <v>136</v>
      </c>
      <c r="I358" t="s">
        <v>383</v>
      </c>
      <c r="J358" t="s">
        <v>190</v>
      </c>
      <c r="K358" t="s">
        <v>139</v>
      </c>
      <c r="L358" s="17"/>
      <c r="M358" s="17"/>
      <c r="N358" s="17" t="s">
        <v>384</v>
      </c>
      <c r="O358" s="36"/>
      <c r="P358" s="17"/>
      <c r="Q358" s="17"/>
      <c r="U358" t="s">
        <v>385</v>
      </c>
      <c r="V358" t="s">
        <v>385</v>
      </c>
      <c r="X358" s="31">
        <v>44109</v>
      </c>
      <c r="Y358" s="31">
        <v>44109</v>
      </c>
      <c r="AA358" s="31"/>
      <c r="AB358" t="s">
        <v>9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1</v>
      </c>
      <c r="AI358">
        <v>50020</v>
      </c>
      <c r="AJ358">
        <v>2111</v>
      </c>
      <c r="AK358">
        <v>0</v>
      </c>
      <c r="AL358">
        <v>19</v>
      </c>
      <c r="AO358" s="41"/>
      <c r="AP358" s="41"/>
      <c r="AQ358" t="str">
        <f t="shared" si="10"/>
        <v/>
      </c>
      <c r="AS358" t="str">
        <f t="shared" si="11"/>
        <v>wci_corp</v>
      </c>
    </row>
    <row r="359" spans="2:45" x14ac:dyDescent="0.2">
      <c r="B359" t="s">
        <v>202</v>
      </c>
      <c r="C359" s="31">
        <v>44135</v>
      </c>
      <c r="D359" s="15">
        <v>-424</v>
      </c>
      <c r="E359" s="15">
        <v>0</v>
      </c>
      <c r="F359" s="53" t="s">
        <v>134</v>
      </c>
      <c r="G359" t="s">
        <v>386</v>
      </c>
      <c r="H359" s="41" t="s">
        <v>136</v>
      </c>
      <c r="I359" t="s">
        <v>383</v>
      </c>
      <c r="J359" t="s">
        <v>173</v>
      </c>
      <c r="K359" t="s">
        <v>139</v>
      </c>
      <c r="L359" s="17"/>
      <c r="M359" s="17"/>
      <c r="N359" s="17" t="s">
        <v>384</v>
      </c>
      <c r="O359" s="36"/>
      <c r="P359" s="17"/>
      <c r="Q359" s="17"/>
      <c r="U359" t="s">
        <v>385</v>
      </c>
      <c r="V359" t="s">
        <v>387</v>
      </c>
      <c r="X359" s="31">
        <v>44109</v>
      </c>
      <c r="Y359" s="31">
        <v>44109</v>
      </c>
      <c r="AA359" s="31"/>
      <c r="AB359" t="s">
        <v>9</v>
      </c>
      <c r="AC359">
        <v>0</v>
      </c>
      <c r="AD359">
        <v>0</v>
      </c>
      <c r="AE359">
        <v>0</v>
      </c>
      <c r="AF359">
        <v>0</v>
      </c>
      <c r="AG359">
        <v>5</v>
      </c>
      <c r="AH359">
        <v>1</v>
      </c>
      <c r="AI359">
        <v>50020</v>
      </c>
      <c r="AJ359">
        <v>2111</v>
      </c>
      <c r="AK359">
        <v>0</v>
      </c>
      <c r="AL359">
        <v>19</v>
      </c>
      <c r="AO359" s="41"/>
      <c r="AP359" s="41"/>
      <c r="AQ359" t="str">
        <f t="shared" si="10"/>
        <v/>
      </c>
      <c r="AS359" t="str">
        <f t="shared" si="11"/>
        <v>wci_corp</v>
      </c>
    </row>
    <row r="360" spans="2:45" x14ac:dyDescent="0.2">
      <c r="B360" t="s">
        <v>202</v>
      </c>
      <c r="C360" s="31">
        <v>44135</v>
      </c>
      <c r="D360" s="15">
        <v>424</v>
      </c>
      <c r="E360" s="15">
        <v>0</v>
      </c>
      <c r="F360" s="53" t="s">
        <v>134</v>
      </c>
      <c r="G360" t="s">
        <v>388</v>
      </c>
      <c r="H360" s="41" t="s">
        <v>136</v>
      </c>
      <c r="I360" t="s">
        <v>389</v>
      </c>
      <c r="J360" t="s">
        <v>190</v>
      </c>
      <c r="K360" t="s">
        <v>139</v>
      </c>
      <c r="L360" s="17"/>
      <c r="M360" s="17"/>
      <c r="N360" s="17" t="s">
        <v>384</v>
      </c>
      <c r="O360" s="36"/>
      <c r="P360" s="17"/>
      <c r="Q360" s="17"/>
      <c r="U360" t="s">
        <v>390</v>
      </c>
      <c r="V360" t="s">
        <v>390</v>
      </c>
      <c r="X360" s="31">
        <v>44139</v>
      </c>
      <c r="Y360" s="31">
        <v>44139</v>
      </c>
      <c r="AA360" s="31"/>
      <c r="AB360" t="s">
        <v>9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1</v>
      </c>
      <c r="AI360">
        <v>50020</v>
      </c>
      <c r="AJ360">
        <v>2111</v>
      </c>
      <c r="AK360">
        <v>0</v>
      </c>
      <c r="AL360">
        <v>19</v>
      </c>
      <c r="AO360" s="41"/>
      <c r="AP360" s="41"/>
      <c r="AQ360" t="str">
        <f t="shared" si="10"/>
        <v/>
      </c>
      <c r="AS360" t="str">
        <f t="shared" si="11"/>
        <v>wci_corp</v>
      </c>
    </row>
    <row r="361" spans="2:45" x14ac:dyDescent="0.2">
      <c r="B361" t="s">
        <v>202</v>
      </c>
      <c r="C361" s="31">
        <v>44135</v>
      </c>
      <c r="D361" s="15">
        <v>856.8</v>
      </c>
      <c r="E361" s="15">
        <v>0</v>
      </c>
      <c r="F361" s="53" t="s">
        <v>134</v>
      </c>
      <c r="G361" t="s">
        <v>388</v>
      </c>
      <c r="H361" s="41" t="s">
        <v>136</v>
      </c>
      <c r="I361" t="s">
        <v>389</v>
      </c>
      <c r="J361" t="s">
        <v>190</v>
      </c>
      <c r="K361" t="s">
        <v>139</v>
      </c>
      <c r="L361" s="17"/>
      <c r="M361" s="17"/>
      <c r="N361" s="17" t="s">
        <v>384</v>
      </c>
      <c r="O361" s="36"/>
      <c r="P361" s="17"/>
      <c r="Q361" s="17"/>
      <c r="U361" t="s">
        <v>390</v>
      </c>
      <c r="V361" t="s">
        <v>390</v>
      </c>
      <c r="X361" s="31">
        <v>44139</v>
      </c>
      <c r="Y361" s="31">
        <v>44139</v>
      </c>
      <c r="AA361" s="31"/>
      <c r="AB361" t="s">
        <v>9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1</v>
      </c>
      <c r="AI361">
        <v>50020</v>
      </c>
      <c r="AJ361">
        <v>2111</v>
      </c>
      <c r="AK361">
        <v>0</v>
      </c>
      <c r="AL361">
        <v>19</v>
      </c>
      <c r="AO361" s="41"/>
      <c r="AP361" s="41"/>
      <c r="AQ361" t="str">
        <f t="shared" si="10"/>
        <v/>
      </c>
      <c r="AS361" t="str">
        <f t="shared" si="11"/>
        <v>wci_corp</v>
      </c>
    </row>
    <row r="362" spans="2:45" x14ac:dyDescent="0.2">
      <c r="B362" t="s">
        <v>142</v>
      </c>
      <c r="C362" s="31">
        <v>44135</v>
      </c>
      <c r="D362" s="15">
        <v>625</v>
      </c>
      <c r="E362" s="15">
        <v>0</v>
      </c>
      <c r="F362" s="53" t="s">
        <v>134</v>
      </c>
      <c r="G362" t="s">
        <v>388</v>
      </c>
      <c r="H362" s="41" t="s">
        <v>136</v>
      </c>
      <c r="I362" t="s">
        <v>389</v>
      </c>
      <c r="J362" t="s">
        <v>190</v>
      </c>
      <c r="K362" t="s">
        <v>139</v>
      </c>
      <c r="L362" s="17"/>
      <c r="M362" s="17"/>
      <c r="N362" s="17" t="s">
        <v>391</v>
      </c>
      <c r="O362" s="36"/>
      <c r="P362" s="17"/>
      <c r="Q362" s="17"/>
      <c r="U362" t="s">
        <v>390</v>
      </c>
      <c r="V362" t="s">
        <v>390</v>
      </c>
      <c r="X362" s="31">
        <v>44139</v>
      </c>
      <c r="Y362" s="31">
        <v>44139</v>
      </c>
      <c r="AA362" s="31"/>
      <c r="AB362" t="s">
        <v>9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1</v>
      </c>
      <c r="AI362">
        <v>70165</v>
      </c>
      <c r="AJ362">
        <v>2111</v>
      </c>
      <c r="AK362">
        <v>0</v>
      </c>
      <c r="AL362">
        <v>19</v>
      </c>
      <c r="AO362" s="41"/>
      <c r="AP362" s="41"/>
      <c r="AQ362" t="str">
        <f t="shared" si="10"/>
        <v/>
      </c>
      <c r="AS362" t="str">
        <f t="shared" si="11"/>
        <v>wci_corp</v>
      </c>
    </row>
    <row r="363" spans="2:45" x14ac:dyDescent="0.2">
      <c r="B363" t="s">
        <v>142</v>
      </c>
      <c r="C363" s="31">
        <v>44135</v>
      </c>
      <c r="D363" s="15">
        <v>25</v>
      </c>
      <c r="E363" s="15">
        <v>0</v>
      </c>
      <c r="F363" s="53" t="s">
        <v>134</v>
      </c>
      <c r="G363" t="s">
        <v>388</v>
      </c>
      <c r="H363" s="41" t="s">
        <v>136</v>
      </c>
      <c r="I363" t="s">
        <v>389</v>
      </c>
      <c r="J363" t="s">
        <v>190</v>
      </c>
      <c r="K363" t="s">
        <v>139</v>
      </c>
      <c r="L363" s="17"/>
      <c r="M363" s="17"/>
      <c r="N363" s="17" t="s">
        <v>391</v>
      </c>
      <c r="O363" s="36"/>
      <c r="P363" s="17"/>
      <c r="Q363" s="17"/>
      <c r="U363" t="s">
        <v>390</v>
      </c>
      <c r="V363" t="s">
        <v>390</v>
      </c>
      <c r="X363" s="31">
        <v>44139</v>
      </c>
      <c r="Y363" s="31">
        <v>44139</v>
      </c>
      <c r="AA363" s="31"/>
      <c r="AB363" t="s">
        <v>9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1</v>
      </c>
      <c r="AI363">
        <v>70165</v>
      </c>
      <c r="AJ363">
        <v>2111</v>
      </c>
      <c r="AK363">
        <v>0</v>
      </c>
      <c r="AL363">
        <v>19</v>
      </c>
      <c r="AO363" s="41"/>
      <c r="AP363" s="41"/>
      <c r="AQ363" t="str">
        <f t="shared" si="10"/>
        <v/>
      </c>
      <c r="AS363" t="str">
        <f t="shared" si="11"/>
        <v>wci_corp</v>
      </c>
    </row>
    <row r="364" spans="2:45" x14ac:dyDescent="0.2">
      <c r="B364" t="s">
        <v>142</v>
      </c>
      <c r="C364" s="31">
        <v>44135</v>
      </c>
      <c r="D364" s="15">
        <v>25</v>
      </c>
      <c r="E364" s="15">
        <v>0</v>
      </c>
      <c r="F364" s="53" t="s">
        <v>134</v>
      </c>
      <c r="G364" t="s">
        <v>388</v>
      </c>
      <c r="H364" s="41" t="s">
        <v>136</v>
      </c>
      <c r="I364" t="s">
        <v>389</v>
      </c>
      <c r="J364" t="s">
        <v>190</v>
      </c>
      <c r="K364" t="s">
        <v>139</v>
      </c>
      <c r="L364" s="17"/>
      <c r="M364" s="17"/>
      <c r="N364" s="17" t="s">
        <v>391</v>
      </c>
      <c r="O364" s="36"/>
      <c r="P364" s="17"/>
      <c r="Q364" s="17"/>
      <c r="U364" t="s">
        <v>390</v>
      </c>
      <c r="V364" t="s">
        <v>390</v>
      </c>
      <c r="X364" s="31">
        <v>44139</v>
      </c>
      <c r="Y364" s="31">
        <v>44139</v>
      </c>
      <c r="AA364" s="31"/>
      <c r="AB364" t="s">
        <v>9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1</v>
      </c>
      <c r="AI364">
        <v>70165</v>
      </c>
      <c r="AJ364">
        <v>2111</v>
      </c>
      <c r="AK364">
        <v>0</v>
      </c>
      <c r="AL364">
        <v>19</v>
      </c>
      <c r="AO364" s="41"/>
      <c r="AP364" s="41"/>
      <c r="AQ364" t="str">
        <f t="shared" si="10"/>
        <v/>
      </c>
      <c r="AS364" t="str">
        <f t="shared" si="11"/>
        <v>wci_corp</v>
      </c>
    </row>
    <row r="365" spans="2:45" x14ac:dyDescent="0.2">
      <c r="B365" t="s">
        <v>202</v>
      </c>
      <c r="C365" s="31">
        <v>44135</v>
      </c>
      <c r="D365" s="15">
        <v>1428</v>
      </c>
      <c r="E365" s="15">
        <v>0</v>
      </c>
      <c r="F365" s="53" t="s">
        <v>134</v>
      </c>
      <c r="G365" t="s">
        <v>392</v>
      </c>
      <c r="H365" s="41" t="s">
        <v>136</v>
      </c>
      <c r="I365" t="s">
        <v>393</v>
      </c>
      <c r="J365" t="s">
        <v>190</v>
      </c>
      <c r="K365" t="s">
        <v>139</v>
      </c>
      <c r="L365" s="17"/>
      <c r="M365" s="17"/>
      <c r="N365" s="17" t="s">
        <v>394</v>
      </c>
      <c r="O365" s="36"/>
      <c r="P365" s="17"/>
      <c r="Q365" s="17"/>
      <c r="U365" t="s">
        <v>395</v>
      </c>
      <c r="V365" t="s">
        <v>395</v>
      </c>
      <c r="X365" s="31">
        <v>44139</v>
      </c>
      <c r="Y365" s="31">
        <v>44140</v>
      </c>
      <c r="AA365" s="31"/>
      <c r="AB365" t="s">
        <v>9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1</v>
      </c>
      <c r="AI365">
        <v>50020</v>
      </c>
      <c r="AJ365">
        <v>2111</v>
      </c>
      <c r="AK365">
        <v>0</v>
      </c>
      <c r="AL365">
        <v>19</v>
      </c>
      <c r="AO365" s="41"/>
      <c r="AP365" s="41"/>
      <c r="AQ365" t="str">
        <f t="shared" si="10"/>
        <v/>
      </c>
      <c r="AS365" t="str">
        <f t="shared" si="11"/>
        <v>wci_corp</v>
      </c>
    </row>
    <row r="366" spans="2:45" x14ac:dyDescent="0.2">
      <c r="B366" t="s">
        <v>207</v>
      </c>
      <c r="C366" s="31">
        <v>44135</v>
      </c>
      <c r="D366" s="15">
        <v>3578.8</v>
      </c>
      <c r="E366" s="15">
        <v>0</v>
      </c>
      <c r="F366" s="53" t="s">
        <v>134</v>
      </c>
      <c r="G366" t="s">
        <v>392</v>
      </c>
      <c r="H366" s="41" t="s">
        <v>136</v>
      </c>
      <c r="I366" t="s">
        <v>393</v>
      </c>
      <c r="J366" t="s">
        <v>190</v>
      </c>
      <c r="K366" t="s">
        <v>139</v>
      </c>
      <c r="L366" s="17"/>
      <c r="M366" s="17"/>
      <c r="N366" s="17" t="s">
        <v>394</v>
      </c>
      <c r="O366" s="36"/>
      <c r="P366" s="17"/>
      <c r="Q366" s="17"/>
      <c r="U366" t="s">
        <v>395</v>
      </c>
      <c r="V366" t="s">
        <v>395</v>
      </c>
      <c r="X366" s="31">
        <v>44139</v>
      </c>
      <c r="Y366" s="31">
        <v>44140</v>
      </c>
      <c r="AA366" s="31"/>
      <c r="AB366" t="s">
        <v>9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1</v>
      </c>
      <c r="AI366">
        <v>52020</v>
      </c>
      <c r="AJ366">
        <v>2111</v>
      </c>
      <c r="AK366">
        <v>0</v>
      </c>
      <c r="AL366">
        <v>19</v>
      </c>
      <c r="AO366" s="41"/>
      <c r="AP366" s="41"/>
      <c r="AQ366" t="str">
        <f t="shared" si="10"/>
        <v/>
      </c>
      <c r="AS366" t="str">
        <f t="shared" si="11"/>
        <v>wci_corp</v>
      </c>
    </row>
    <row r="367" spans="2:45" x14ac:dyDescent="0.2">
      <c r="B367" t="s">
        <v>142</v>
      </c>
      <c r="C367" s="31">
        <v>44135</v>
      </c>
      <c r="D367" s="15">
        <v>650</v>
      </c>
      <c r="E367" s="15">
        <v>0</v>
      </c>
      <c r="F367" s="53" t="s">
        <v>134</v>
      </c>
      <c r="G367" t="s">
        <v>392</v>
      </c>
      <c r="H367" s="41" t="s">
        <v>136</v>
      </c>
      <c r="I367" t="s">
        <v>393</v>
      </c>
      <c r="J367" t="s">
        <v>190</v>
      </c>
      <c r="K367" t="s">
        <v>139</v>
      </c>
      <c r="L367" s="17"/>
      <c r="M367" s="17"/>
      <c r="N367" s="17" t="s">
        <v>396</v>
      </c>
      <c r="O367" s="36"/>
      <c r="P367" s="17"/>
      <c r="Q367" s="17"/>
      <c r="U367" t="s">
        <v>395</v>
      </c>
      <c r="V367" t="s">
        <v>395</v>
      </c>
      <c r="X367" s="31">
        <v>44139</v>
      </c>
      <c r="Y367" s="31">
        <v>44140</v>
      </c>
      <c r="AA367" s="31"/>
      <c r="AB367" t="s">
        <v>9</v>
      </c>
      <c r="AC367">
        <v>0</v>
      </c>
      <c r="AD367">
        <v>0</v>
      </c>
      <c r="AE367">
        <v>0</v>
      </c>
      <c r="AF367">
        <v>0</v>
      </c>
      <c r="AG367">
        <v>0</v>
      </c>
      <c r="AH367">
        <v>1</v>
      </c>
      <c r="AI367">
        <v>70165</v>
      </c>
      <c r="AJ367">
        <v>2111</v>
      </c>
      <c r="AK367">
        <v>0</v>
      </c>
      <c r="AL367">
        <v>19</v>
      </c>
      <c r="AO367" s="41"/>
      <c r="AP367" s="41"/>
      <c r="AQ367" t="str">
        <f t="shared" si="10"/>
        <v/>
      </c>
      <c r="AS367" t="str">
        <f t="shared" si="11"/>
        <v>wci_corp</v>
      </c>
    </row>
    <row r="368" spans="2:45" x14ac:dyDescent="0.2">
      <c r="B368" t="s">
        <v>142</v>
      </c>
      <c r="C368" s="31">
        <v>44135</v>
      </c>
      <c r="D368" s="15">
        <v>25</v>
      </c>
      <c r="E368" s="15">
        <v>0</v>
      </c>
      <c r="F368" s="53" t="s">
        <v>134</v>
      </c>
      <c r="G368" t="s">
        <v>392</v>
      </c>
      <c r="H368" s="41" t="s">
        <v>136</v>
      </c>
      <c r="I368" t="s">
        <v>393</v>
      </c>
      <c r="J368" t="s">
        <v>190</v>
      </c>
      <c r="K368" t="s">
        <v>139</v>
      </c>
      <c r="L368" s="17"/>
      <c r="M368" s="17"/>
      <c r="N368" s="17" t="s">
        <v>396</v>
      </c>
      <c r="O368" s="36"/>
      <c r="P368" s="17"/>
      <c r="Q368" s="17"/>
      <c r="U368" t="s">
        <v>395</v>
      </c>
      <c r="V368" t="s">
        <v>395</v>
      </c>
      <c r="X368" s="31">
        <v>44139</v>
      </c>
      <c r="Y368" s="31">
        <v>44140</v>
      </c>
      <c r="AA368" s="31"/>
      <c r="AB368" t="s">
        <v>9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1</v>
      </c>
      <c r="AI368">
        <v>70165</v>
      </c>
      <c r="AJ368">
        <v>2111</v>
      </c>
      <c r="AK368">
        <v>0</v>
      </c>
      <c r="AL368">
        <v>19</v>
      </c>
      <c r="AO368" s="41"/>
      <c r="AP368" s="41"/>
      <c r="AQ368" t="str">
        <f t="shared" si="10"/>
        <v/>
      </c>
      <c r="AS368" t="str">
        <f t="shared" si="11"/>
        <v>wci_corp</v>
      </c>
    </row>
    <row r="369" spans="2:45" x14ac:dyDescent="0.2">
      <c r="B369" t="s">
        <v>142</v>
      </c>
      <c r="C369" s="31">
        <v>44135</v>
      </c>
      <c r="D369" s="15">
        <v>25</v>
      </c>
      <c r="E369" s="15">
        <v>0</v>
      </c>
      <c r="F369" s="53" t="s">
        <v>134</v>
      </c>
      <c r="G369" t="s">
        <v>392</v>
      </c>
      <c r="H369" s="41" t="s">
        <v>136</v>
      </c>
      <c r="I369" t="s">
        <v>393</v>
      </c>
      <c r="J369" t="s">
        <v>190</v>
      </c>
      <c r="K369" t="s">
        <v>139</v>
      </c>
      <c r="L369" s="17"/>
      <c r="M369" s="17"/>
      <c r="N369" s="17" t="s">
        <v>396</v>
      </c>
      <c r="O369" s="36"/>
      <c r="P369" s="17"/>
      <c r="Q369" s="17"/>
      <c r="U369" t="s">
        <v>395</v>
      </c>
      <c r="V369" t="s">
        <v>395</v>
      </c>
      <c r="X369" s="31">
        <v>44139</v>
      </c>
      <c r="Y369" s="31">
        <v>44140</v>
      </c>
      <c r="AA369" s="31"/>
      <c r="AB369" t="s">
        <v>9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1</v>
      </c>
      <c r="AI369">
        <v>70165</v>
      </c>
      <c r="AJ369">
        <v>2111</v>
      </c>
      <c r="AK369">
        <v>0</v>
      </c>
      <c r="AL369">
        <v>19</v>
      </c>
      <c r="AO369" s="41"/>
      <c r="AP369" s="41"/>
      <c r="AQ369" t="str">
        <f t="shared" si="10"/>
        <v/>
      </c>
      <c r="AS369" t="str">
        <f t="shared" si="11"/>
        <v>wci_corp</v>
      </c>
    </row>
    <row r="370" spans="2:45" x14ac:dyDescent="0.2">
      <c r="B370" t="s">
        <v>202</v>
      </c>
      <c r="C370" s="31">
        <v>44135</v>
      </c>
      <c r="D370" s="15">
        <v>2544.96</v>
      </c>
      <c r="E370" s="15">
        <v>0</v>
      </c>
      <c r="F370" s="53" t="s">
        <v>134</v>
      </c>
      <c r="G370" t="s">
        <v>397</v>
      </c>
      <c r="H370" s="41" t="s">
        <v>136</v>
      </c>
      <c r="I370" t="s">
        <v>398</v>
      </c>
      <c r="J370" t="s">
        <v>190</v>
      </c>
      <c r="K370" t="s">
        <v>139</v>
      </c>
      <c r="L370" s="17"/>
      <c r="M370" s="17"/>
      <c r="N370" s="17" t="s">
        <v>399</v>
      </c>
      <c r="O370" s="36"/>
      <c r="P370" s="17"/>
      <c r="Q370" s="17"/>
      <c r="U370" t="s">
        <v>400</v>
      </c>
      <c r="V370" t="s">
        <v>400</v>
      </c>
      <c r="X370" s="31">
        <v>44139</v>
      </c>
      <c r="Y370" s="31">
        <v>44140</v>
      </c>
      <c r="AA370" s="31"/>
      <c r="AB370" t="s">
        <v>9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1</v>
      </c>
      <c r="AI370">
        <v>50020</v>
      </c>
      <c r="AJ370">
        <v>2111</v>
      </c>
      <c r="AK370">
        <v>0</v>
      </c>
      <c r="AL370">
        <v>19</v>
      </c>
      <c r="AO370" s="41"/>
      <c r="AP370" s="41"/>
      <c r="AQ370" t="str">
        <f t="shared" si="10"/>
        <v/>
      </c>
      <c r="AS370" t="str">
        <f t="shared" si="11"/>
        <v>wci_corp</v>
      </c>
    </row>
    <row r="371" spans="2:45" x14ac:dyDescent="0.2">
      <c r="B371" t="s">
        <v>202</v>
      </c>
      <c r="C371" s="31">
        <v>44135</v>
      </c>
      <c r="D371" s="15">
        <v>496</v>
      </c>
      <c r="E371" s="15">
        <v>0</v>
      </c>
      <c r="F371" s="53" t="s">
        <v>134</v>
      </c>
      <c r="G371" t="s">
        <v>397</v>
      </c>
      <c r="H371" s="41" t="s">
        <v>136</v>
      </c>
      <c r="I371" t="s">
        <v>398</v>
      </c>
      <c r="J371" t="s">
        <v>190</v>
      </c>
      <c r="K371" t="s">
        <v>139</v>
      </c>
      <c r="L371" s="17"/>
      <c r="M371" s="17"/>
      <c r="N371" s="17" t="s">
        <v>399</v>
      </c>
      <c r="O371" s="36"/>
      <c r="P371" s="17"/>
      <c r="Q371" s="17"/>
      <c r="U371" t="s">
        <v>400</v>
      </c>
      <c r="V371" t="s">
        <v>400</v>
      </c>
      <c r="X371" s="31">
        <v>44139</v>
      </c>
      <c r="Y371" s="31">
        <v>44140</v>
      </c>
      <c r="AA371" s="31"/>
      <c r="AB371" t="s">
        <v>9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1</v>
      </c>
      <c r="AI371">
        <v>50020</v>
      </c>
      <c r="AJ371">
        <v>2111</v>
      </c>
      <c r="AK371">
        <v>0</v>
      </c>
      <c r="AL371">
        <v>19</v>
      </c>
      <c r="AO371" s="41"/>
      <c r="AP371" s="41"/>
      <c r="AQ371" t="str">
        <f t="shared" si="10"/>
        <v/>
      </c>
      <c r="AS371" t="str">
        <f t="shared" si="11"/>
        <v>wci_corp</v>
      </c>
    </row>
    <row r="372" spans="2:45" x14ac:dyDescent="0.2">
      <c r="B372" t="s">
        <v>142</v>
      </c>
      <c r="C372" s="31">
        <v>44135</v>
      </c>
      <c r="D372" s="15">
        <v>650</v>
      </c>
      <c r="E372" s="15">
        <v>0</v>
      </c>
      <c r="F372" s="53" t="s">
        <v>134</v>
      </c>
      <c r="G372" t="s">
        <v>397</v>
      </c>
      <c r="H372" s="41" t="s">
        <v>136</v>
      </c>
      <c r="I372" t="s">
        <v>398</v>
      </c>
      <c r="J372" t="s">
        <v>190</v>
      </c>
      <c r="K372" t="s">
        <v>139</v>
      </c>
      <c r="L372" s="17"/>
      <c r="M372" s="17"/>
      <c r="N372" s="17" t="s">
        <v>401</v>
      </c>
      <c r="O372" s="36"/>
      <c r="P372" s="17"/>
      <c r="Q372" s="17"/>
      <c r="U372" t="s">
        <v>400</v>
      </c>
      <c r="V372" t="s">
        <v>400</v>
      </c>
      <c r="X372" s="31">
        <v>44139</v>
      </c>
      <c r="Y372" s="31">
        <v>44140</v>
      </c>
      <c r="AA372" s="31"/>
      <c r="AB372" t="s">
        <v>9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1</v>
      </c>
      <c r="AI372">
        <v>70165</v>
      </c>
      <c r="AJ372">
        <v>2111</v>
      </c>
      <c r="AK372">
        <v>0</v>
      </c>
      <c r="AL372">
        <v>19</v>
      </c>
      <c r="AO372" s="41"/>
      <c r="AP372" s="41"/>
      <c r="AQ372" t="str">
        <f t="shared" si="10"/>
        <v/>
      </c>
      <c r="AS372" t="str">
        <f t="shared" si="11"/>
        <v>wci_corp</v>
      </c>
    </row>
    <row r="373" spans="2:45" x14ac:dyDescent="0.2">
      <c r="B373" t="s">
        <v>142</v>
      </c>
      <c r="C373" s="31">
        <v>44135</v>
      </c>
      <c r="D373" s="15">
        <v>25</v>
      </c>
      <c r="E373" s="15">
        <v>0</v>
      </c>
      <c r="F373" s="53" t="s">
        <v>134</v>
      </c>
      <c r="G373" t="s">
        <v>397</v>
      </c>
      <c r="H373" s="41" t="s">
        <v>136</v>
      </c>
      <c r="I373" t="s">
        <v>398</v>
      </c>
      <c r="J373" t="s">
        <v>190</v>
      </c>
      <c r="K373" t="s">
        <v>139</v>
      </c>
      <c r="L373" s="17"/>
      <c r="M373" s="17"/>
      <c r="N373" s="17" t="s">
        <v>401</v>
      </c>
      <c r="O373" s="36"/>
      <c r="P373" s="17"/>
      <c r="Q373" s="17"/>
      <c r="U373" t="s">
        <v>400</v>
      </c>
      <c r="V373" t="s">
        <v>400</v>
      </c>
      <c r="X373" s="31">
        <v>44139</v>
      </c>
      <c r="Y373" s="31">
        <v>44140</v>
      </c>
      <c r="AA373" s="31"/>
      <c r="AB373" t="s">
        <v>9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1</v>
      </c>
      <c r="AI373">
        <v>70165</v>
      </c>
      <c r="AJ373">
        <v>2111</v>
      </c>
      <c r="AK373">
        <v>0</v>
      </c>
      <c r="AL373">
        <v>19</v>
      </c>
      <c r="AO373" s="41"/>
      <c r="AP373" s="41"/>
      <c r="AQ373" t="str">
        <f t="shared" si="10"/>
        <v/>
      </c>
      <c r="AS373" t="str">
        <f t="shared" si="11"/>
        <v>wci_corp</v>
      </c>
    </row>
    <row r="374" spans="2:45" x14ac:dyDescent="0.2">
      <c r="B374" t="s">
        <v>142</v>
      </c>
      <c r="C374" s="31">
        <v>44135</v>
      </c>
      <c r="D374" s="15">
        <v>25</v>
      </c>
      <c r="E374" s="15">
        <v>0</v>
      </c>
      <c r="F374" s="53" t="s">
        <v>134</v>
      </c>
      <c r="G374" t="s">
        <v>397</v>
      </c>
      <c r="H374" s="41" t="s">
        <v>136</v>
      </c>
      <c r="I374" t="s">
        <v>398</v>
      </c>
      <c r="J374" t="s">
        <v>190</v>
      </c>
      <c r="K374" t="s">
        <v>139</v>
      </c>
      <c r="L374" s="17"/>
      <c r="M374" s="17"/>
      <c r="N374" s="17" t="s">
        <v>401</v>
      </c>
      <c r="O374" s="36"/>
      <c r="P374" s="17"/>
      <c r="Q374" s="17"/>
      <c r="U374" t="s">
        <v>400</v>
      </c>
      <c r="V374" t="s">
        <v>400</v>
      </c>
      <c r="X374" s="31">
        <v>44139</v>
      </c>
      <c r="Y374" s="31">
        <v>44140</v>
      </c>
      <c r="AA374" s="31"/>
      <c r="AB374" t="s">
        <v>9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1</v>
      </c>
      <c r="AI374">
        <v>70165</v>
      </c>
      <c r="AJ374">
        <v>2111</v>
      </c>
      <c r="AK374">
        <v>0</v>
      </c>
      <c r="AL374">
        <v>19</v>
      </c>
      <c r="AO374" s="41"/>
      <c r="AP374" s="41"/>
      <c r="AQ374" t="str">
        <f t="shared" si="10"/>
        <v/>
      </c>
      <c r="AS374" t="str">
        <f t="shared" si="11"/>
        <v>wci_corp</v>
      </c>
    </row>
    <row r="375" spans="2:45" x14ac:dyDescent="0.2">
      <c r="B375" t="s">
        <v>402</v>
      </c>
      <c r="C375" s="31">
        <v>44165</v>
      </c>
      <c r="D375" s="15">
        <v>164.82</v>
      </c>
      <c r="E375" s="15">
        <v>0</v>
      </c>
      <c r="F375" s="53" t="s">
        <v>134</v>
      </c>
      <c r="G375" t="s">
        <v>403</v>
      </c>
      <c r="H375" s="41" t="s">
        <v>136</v>
      </c>
      <c r="I375" t="s">
        <v>404</v>
      </c>
      <c r="J375" t="s">
        <v>205</v>
      </c>
      <c r="K375" t="s">
        <v>139</v>
      </c>
      <c r="L375" s="17"/>
      <c r="M375" s="17"/>
      <c r="N375" s="17" t="s">
        <v>405</v>
      </c>
      <c r="O375" s="36"/>
      <c r="P375" s="17"/>
      <c r="Q375" s="17"/>
      <c r="U375" t="s">
        <v>406</v>
      </c>
      <c r="V375" t="s">
        <v>406</v>
      </c>
      <c r="X375" s="31">
        <v>44167</v>
      </c>
      <c r="Y375" s="31">
        <v>44167</v>
      </c>
      <c r="AA375" s="31"/>
      <c r="AB375" t="s">
        <v>9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1</v>
      </c>
      <c r="AI375">
        <v>52200</v>
      </c>
      <c r="AJ375">
        <v>2111</v>
      </c>
      <c r="AK375">
        <v>0</v>
      </c>
      <c r="AL375">
        <v>19</v>
      </c>
      <c r="AO375" s="41"/>
      <c r="AP375" s="41"/>
      <c r="AQ375" t="str">
        <f t="shared" si="10"/>
        <v/>
      </c>
      <c r="AS375" t="str">
        <f t="shared" si="11"/>
        <v>wci_corp</v>
      </c>
    </row>
    <row r="376" spans="2:45" x14ac:dyDescent="0.2">
      <c r="B376" t="s">
        <v>407</v>
      </c>
      <c r="C376" s="31">
        <v>44165</v>
      </c>
      <c r="D376" s="15">
        <v>251.36</v>
      </c>
      <c r="E376" s="15">
        <v>0</v>
      </c>
      <c r="F376" s="53" t="s">
        <v>134</v>
      </c>
      <c r="G376" t="s">
        <v>403</v>
      </c>
      <c r="H376" s="41" t="s">
        <v>136</v>
      </c>
      <c r="I376" t="s">
        <v>404</v>
      </c>
      <c r="J376" t="s">
        <v>205</v>
      </c>
      <c r="K376" t="s">
        <v>139</v>
      </c>
      <c r="L376" s="17"/>
      <c r="M376" s="17"/>
      <c r="N376" s="17" t="s">
        <v>408</v>
      </c>
      <c r="O376" s="36"/>
      <c r="P376" s="17"/>
      <c r="Q376" s="17"/>
      <c r="U376" t="s">
        <v>406</v>
      </c>
      <c r="V376" t="s">
        <v>406</v>
      </c>
      <c r="X376" s="31">
        <v>44167</v>
      </c>
      <c r="Y376" s="31">
        <v>44167</v>
      </c>
      <c r="AA376" s="31"/>
      <c r="AB376" t="s">
        <v>9</v>
      </c>
      <c r="AC376">
        <v>0</v>
      </c>
      <c r="AD376">
        <v>0</v>
      </c>
      <c r="AE376">
        <v>0</v>
      </c>
      <c r="AF376">
        <v>0</v>
      </c>
      <c r="AG376">
        <v>0</v>
      </c>
      <c r="AH376">
        <v>1</v>
      </c>
      <c r="AI376">
        <v>55086</v>
      </c>
      <c r="AJ376">
        <v>2111</v>
      </c>
      <c r="AK376">
        <v>0</v>
      </c>
      <c r="AL376">
        <v>19</v>
      </c>
      <c r="AO376" s="41"/>
      <c r="AP376" s="41"/>
      <c r="AQ376" t="str">
        <f t="shared" si="10"/>
        <v/>
      </c>
      <c r="AS376" t="str">
        <f t="shared" si="11"/>
        <v>wci_corp</v>
      </c>
    </row>
    <row r="377" spans="2:45" x14ac:dyDescent="0.2">
      <c r="B377" t="s">
        <v>202</v>
      </c>
      <c r="C377" s="31">
        <v>44165</v>
      </c>
      <c r="D377" s="15">
        <v>4603.6000000000004</v>
      </c>
      <c r="E377" s="15">
        <v>0</v>
      </c>
      <c r="F377" s="53" t="s">
        <v>134</v>
      </c>
      <c r="G377" t="s">
        <v>409</v>
      </c>
      <c r="H377" s="41" t="s">
        <v>136</v>
      </c>
      <c r="I377" t="s">
        <v>410</v>
      </c>
      <c r="J377" t="s">
        <v>190</v>
      </c>
      <c r="K377" t="s">
        <v>139</v>
      </c>
      <c r="L377" s="17"/>
      <c r="M377" s="17"/>
      <c r="N377" s="17" t="s">
        <v>411</v>
      </c>
      <c r="O377" s="36"/>
      <c r="P377" s="17"/>
      <c r="Q377" s="17"/>
      <c r="U377" t="s">
        <v>412</v>
      </c>
      <c r="V377" t="s">
        <v>412</v>
      </c>
      <c r="X377" s="31">
        <v>44169</v>
      </c>
      <c r="Y377" s="31">
        <v>44169</v>
      </c>
      <c r="AA377" s="31"/>
      <c r="AB377" t="s">
        <v>9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1</v>
      </c>
      <c r="AI377">
        <v>50020</v>
      </c>
      <c r="AJ377">
        <v>2111</v>
      </c>
      <c r="AK377">
        <v>0</v>
      </c>
      <c r="AL377">
        <v>19</v>
      </c>
      <c r="AO377" s="41"/>
      <c r="AP377" s="41"/>
      <c r="AQ377" t="str">
        <f t="shared" si="10"/>
        <v/>
      </c>
      <c r="AS377" t="str">
        <f t="shared" si="11"/>
        <v>wci_corp</v>
      </c>
    </row>
    <row r="378" spans="2:45" x14ac:dyDescent="0.2">
      <c r="B378" t="s">
        <v>202</v>
      </c>
      <c r="C378" s="31">
        <v>44165</v>
      </c>
      <c r="D378" s="15">
        <v>1615.2</v>
      </c>
      <c r="E378" s="15">
        <v>0</v>
      </c>
      <c r="F378" s="53" t="s">
        <v>134</v>
      </c>
      <c r="G378" t="s">
        <v>409</v>
      </c>
      <c r="H378" s="41" t="s">
        <v>136</v>
      </c>
      <c r="I378" t="s">
        <v>410</v>
      </c>
      <c r="J378" t="s">
        <v>190</v>
      </c>
      <c r="K378" t="s">
        <v>139</v>
      </c>
      <c r="L378" s="17"/>
      <c r="M378" s="17"/>
      <c r="N378" s="17" t="s">
        <v>411</v>
      </c>
      <c r="O378" s="36"/>
      <c r="P378" s="17"/>
      <c r="Q378" s="17"/>
      <c r="U378" t="s">
        <v>412</v>
      </c>
      <c r="V378" t="s">
        <v>412</v>
      </c>
      <c r="X378" s="31">
        <v>44169</v>
      </c>
      <c r="Y378" s="31">
        <v>44169</v>
      </c>
      <c r="AA378" s="31"/>
      <c r="AB378" t="s">
        <v>9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1</v>
      </c>
      <c r="AI378">
        <v>50020</v>
      </c>
      <c r="AJ378">
        <v>2111</v>
      </c>
      <c r="AK378">
        <v>0</v>
      </c>
      <c r="AL378">
        <v>19</v>
      </c>
      <c r="AO378" s="41"/>
      <c r="AP378" s="41"/>
      <c r="AQ378" t="str">
        <f t="shared" si="10"/>
        <v/>
      </c>
      <c r="AS378" t="str">
        <f t="shared" si="11"/>
        <v>wci_corp</v>
      </c>
    </row>
    <row r="379" spans="2:45" x14ac:dyDescent="0.2">
      <c r="B379" t="s">
        <v>202</v>
      </c>
      <c r="C379" s="31">
        <v>44165</v>
      </c>
      <c r="D379" s="15">
        <v>1096</v>
      </c>
      <c r="E379" s="15">
        <v>0</v>
      </c>
      <c r="F379" s="53" t="s">
        <v>134</v>
      </c>
      <c r="G379" t="s">
        <v>409</v>
      </c>
      <c r="H379" s="41" t="s">
        <v>136</v>
      </c>
      <c r="I379" t="s">
        <v>410</v>
      </c>
      <c r="J379" t="s">
        <v>190</v>
      </c>
      <c r="K379" t="s">
        <v>139</v>
      </c>
      <c r="L379" s="17"/>
      <c r="M379" s="17"/>
      <c r="N379" s="17" t="s">
        <v>411</v>
      </c>
      <c r="O379" s="36"/>
      <c r="P379" s="17"/>
      <c r="Q379" s="17"/>
      <c r="U379" t="s">
        <v>412</v>
      </c>
      <c r="V379" t="s">
        <v>412</v>
      </c>
      <c r="X379" s="31">
        <v>44169</v>
      </c>
      <c r="Y379" s="31">
        <v>44169</v>
      </c>
      <c r="AA379" s="31"/>
      <c r="AB379" t="s">
        <v>9</v>
      </c>
      <c r="AC379">
        <v>0</v>
      </c>
      <c r="AD379">
        <v>0</v>
      </c>
      <c r="AE379">
        <v>0</v>
      </c>
      <c r="AF379">
        <v>0</v>
      </c>
      <c r="AG379">
        <v>0</v>
      </c>
      <c r="AH379">
        <v>1</v>
      </c>
      <c r="AI379">
        <v>50020</v>
      </c>
      <c r="AJ379">
        <v>2111</v>
      </c>
      <c r="AK379">
        <v>0</v>
      </c>
      <c r="AL379">
        <v>19</v>
      </c>
      <c r="AO379" s="41"/>
      <c r="AP379" s="41"/>
      <c r="AQ379" t="str">
        <f t="shared" si="10"/>
        <v/>
      </c>
      <c r="AS379" t="str">
        <f t="shared" si="11"/>
        <v>wci_corp</v>
      </c>
    </row>
    <row r="380" spans="2:45" x14ac:dyDescent="0.2">
      <c r="B380" t="s">
        <v>202</v>
      </c>
      <c r="C380" s="31">
        <v>44165</v>
      </c>
      <c r="D380" s="15">
        <v>424</v>
      </c>
      <c r="E380" s="15">
        <v>0</v>
      </c>
      <c r="F380" s="53" t="s">
        <v>134</v>
      </c>
      <c r="G380" t="s">
        <v>409</v>
      </c>
      <c r="H380" s="41" t="s">
        <v>136</v>
      </c>
      <c r="I380" t="s">
        <v>410</v>
      </c>
      <c r="J380" t="s">
        <v>190</v>
      </c>
      <c r="K380" t="s">
        <v>139</v>
      </c>
      <c r="L380" s="17"/>
      <c r="M380" s="17"/>
      <c r="N380" s="17" t="s">
        <v>411</v>
      </c>
      <c r="O380" s="36"/>
      <c r="P380" s="17"/>
      <c r="Q380" s="17"/>
      <c r="U380" t="s">
        <v>412</v>
      </c>
      <c r="V380" t="s">
        <v>412</v>
      </c>
      <c r="X380" s="31">
        <v>44169</v>
      </c>
      <c r="Y380" s="31">
        <v>44169</v>
      </c>
      <c r="AA380" s="31"/>
      <c r="AB380" t="s">
        <v>9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1</v>
      </c>
      <c r="AI380">
        <v>50020</v>
      </c>
      <c r="AJ380">
        <v>2111</v>
      </c>
      <c r="AK380">
        <v>0</v>
      </c>
      <c r="AL380">
        <v>19</v>
      </c>
      <c r="AO380" s="41"/>
      <c r="AP380" s="41"/>
      <c r="AQ380" t="str">
        <f t="shared" si="10"/>
        <v/>
      </c>
      <c r="AS380" t="str">
        <f t="shared" si="11"/>
        <v>wci_corp</v>
      </c>
    </row>
    <row r="381" spans="2:45" x14ac:dyDescent="0.2">
      <c r="B381" t="s">
        <v>207</v>
      </c>
      <c r="C381" s="31">
        <v>44165</v>
      </c>
      <c r="D381" s="15">
        <v>392.16</v>
      </c>
      <c r="E381" s="15">
        <v>0</v>
      </c>
      <c r="F381" s="53" t="s">
        <v>134</v>
      </c>
      <c r="G381" t="s">
        <v>409</v>
      </c>
      <c r="H381" s="41" t="s">
        <v>136</v>
      </c>
      <c r="I381" t="s">
        <v>410</v>
      </c>
      <c r="J381" t="s">
        <v>190</v>
      </c>
      <c r="K381" t="s">
        <v>139</v>
      </c>
      <c r="L381" s="17"/>
      <c r="M381" s="17"/>
      <c r="N381" s="17" t="s">
        <v>411</v>
      </c>
      <c r="O381" s="36"/>
      <c r="P381" s="17"/>
      <c r="Q381" s="17"/>
      <c r="U381" t="s">
        <v>412</v>
      </c>
      <c r="V381" t="s">
        <v>412</v>
      </c>
      <c r="X381" s="31">
        <v>44169</v>
      </c>
      <c r="Y381" s="31">
        <v>44169</v>
      </c>
      <c r="AA381" s="31"/>
      <c r="AB381" t="s">
        <v>9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1</v>
      </c>
      <c r="AI381">
        <v>52020</v>
      </c>
      <c r="AJ381">
        <v>2111</v>
      </c>
      <c r="AK381">
        <v>0</v>
      </c>
      <c r="AL381">
        <v>19</v>
      </c>
      <c r="AO381" s="41"/>
      <c r="AP381" s="41"/>
      <c r="AQ381" t="str">
        <f t="shared" si="10"/>
        <v/>
      </c>
      <c r="AS381" t="str">
        <f t="shared" si="11"/>
        <v>wci_corp</v>
      </c>
    </row>
    <row r="382" spans="2:45" x14ac:dyDescent="0.2">
      <c r="B382" t="s">
        <v>142</v>
      </c>
      <c r="C382" s="31">
        <v>44165</v>
      </c>
      <c r="D382" s="15">
        <v>650</v>
      </c>
      <c r="E382" s="15">
        <v>0</v>
      </c>
      <c r="F382" s="53" t="s">
        <v>134</v>
      </c>
      <c r="G382" t="s">
        <v>409</v>
      </c>
      <c r="H382" s="41" t="s">
        <v>136</v>
      </c>
      <c r="I382" t="s">
        <v>410</v>
      </c>
      <c r="J382" t="s">
        <v>190</v>
      </c>
      <c r="K382" t="s">
        <v>139</v>
      </c>
      <c r="L382" s="17"/>
      <c r="M382" s="17"/>
      <c r="N382" s="17" t="s">
        <v>413</v>
      </c>
      <c r="O382" s="36"/>
      <c r="P382" s="17"/>
      <c r="Q382" s="17"/>
      <c r="U382" t="s">
        <v>412</v>
      </c>
      <c r="V382" t="s">
        <v>412</v>
      </c>
      <c r="X382" s="31">
        <v>44169</v>
      </c>
      <c r="Y382" s="31">
        <v>44169</v>
      </c>
      <c r="AA382" s="31"/>
      <c r="AB382" t="s">
        <v>9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1</v>
      </c>
      <c r="AI382">
        <v>70165</v>
      </c>
      <c r="AJ382">
        <v>2111</v>
      </c>
      <c r="AK382">
        <v>0</v>
      </c>
      <c r="AL382">
        <v>19</v>
      </c>
      <c r="AO382" s="41"/>
      <c r="AP382" s="41"/>
      <c r="AQ382" t="str">
        <f t="shared" si="10"/>
        <v/>
      </c>
      <c r="AS382" t="str">
        <f t="shared" si="11"/>
        <v>wci_corp</v>
      </c>
    </row>
    <row r="383" spans="2:45" x14ac:dyDescent="0.2">
      <c r="B383" t="s">
        <v>142</v>
      </c>
      <c r="C383" s="31">
        <v>44165</v>
      </c>
      <c r="D383" s="15">
        <v>25</v>
      </c>
      <c r="E383" s="15">
        <v>0</v>
      </c>
      <c r="F383" s="53" t="s">
        <v>134</v>
      </c>
      <c r="G383" t="s">
        <v>409</v>
      </c>
      <c r="H383" s="41" t="s">
        <v>136</v>
      </c>
      <c r="I383" t="s">
        <v>410</v>
      </c>
      <c r="J383" t="s">
        <v>190</v>
      </c>
      <c r="K383" t="s">
        <v>139</v>
      </c>
      <c r="L383" s="17"/>
      <c r="M383" s="17"/>
      <c r="N383" s="17" t="s">
        <v>413</v>
      </c>
      <c r="O383" s="36"/>
      <c r="P383" s="17"/>
      <c r="Q383" s="17"/>
      <c r="U383" t="s">
        <v>412</v>
      </c>
      <c r="V383" t="s">
        <v>412</v>
      </c>
      <c r="X383" s="31">
        <v>44169</v>
      </c>
      <c r="Y383" s="31">
        <v>44169</v>
      </c>
      <c r="AA383" s="31"/>
      <c r="AB383" t="s">
        <v>9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1</v>
      </c>
      <c r="AI383">
        <v>70165</v>
      </c>
      <c r="AJ383">
        <v>2111</v>
      </c>
      <c r="AK383">
        <v>0</v>
      </c>
      <c r="AL383">
        <v>19</v>
      </c>
      <c r="AO383" s="41"/>
      <c r="AP383" s="41"/>
      <c r="AQ383" t="str">
        <f t="shared" si="10"/>
        <v/>
      </c>
      <c r="AS383" t="str">
        <f t="shared" si="11"/>
        <v>wci_corp</v>
      </c>
    </row>
    <row r="384" spans="2:45" x14ac:dyDescent="0.2">
      <c r="B384" t="s">
        <v>142</v>
      </c>
      <c r="C384" s="31">
        <v>44165</v>
      </c>
      <c r="D384" s="15">
        <v>25</v>
      </c>
      <c r="E384" s="15">
        <v>0</v>
      </c>
      <c r="F384" s="53" t="s">
        <v>134</v>
      </c>
      <c r="G384" t="s">
        <v>409</v>
      </c>
      <c r="H384" s="41" t="s">
        <v>136</v>
      </c>
      <c r="I384" t="s">
        <v>410</v>
      </c>
      <c r="J384" t="s">
        <v>190</v>
      </c>
      <c r="K384" t="s">
        <v>139</v>
      </c>
      <c r="L384" s="17"/>
      <c r="M384" s="17"/>
      <c r="N384" s="17" t="s">
        <v>413</v>
      </c>
      <c r="O384" s="36"/>
      <c r="P384" s="17"/>
      <c r="Q384" s="17"/>
      <c r="U384" t="s">
        <v>412</v>
      </c>
      <c r="V384" t="s">
        <v>412</v>
      </c>
      <c r="X384" s="31">
        <v>44169</v>
      </c>
      <c r="Y384" s="31">
        <v>44169</v>
      </c>
      <c r="AA384" s="31"/>
      <c r="AB384" t="s">
        <v>9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1</v>
      </c>
      <c r="AI384">
        <v>70165</v>
      </c>
      <c r="AJ384">
        <v>2111</v>
      </c>
      <c r="AK384">
        <v>0</v>
      </c>
      <c r="AL384">
        <v>19</v>
      </c>
      <c r="AO384" s="41"/>
      <c r="AP384" s="41"/>
      <c r="AQ384" t="str">
        <f t="shared" si="10"/>
        <v/>
      </c>
      <c r="AS384" t="str">
        <f t="shared" si="11"/>
        <v>wci_corp</v>
      </c>
    </row>
    <row r="385" spans="2:45" x14ac:dyDescent="0.2">
      <c r="B385" t="s">
        <v>202</v>
      </c>
      <c r="C385" s="31">
        <v>44165</v>
      </c>
      <c r="D385" s="15">
        <v>3392</v>
      </c>
      <c r="E385" s="15">
        <v>0</v>
      </c>
      <c r="F385" s="53" t="s">
        <v>134</v>
      </c>
      <c r="G385" t="s">
        <v>414</v>
      </c>
      <c r="H385" s="41" t="s">
        <v>136</v>
      </c>
      <c r="I385" t="s">
        <v>415</v>
      </c>
      <c r="J385" t="s">
        <v>190</v>
      </c>
      <c r="K385" t="s">
        <v>139</v>
      </c>
      <c r="L385" s="17"/>
      <c r="M385" s="17"/>
      <c r="N385" s="17" t="s">
        <v>416</v>
      </c>
      <c r="O385" s="36"/>
      <c r="P385" s="17"/>
      <c r="Q385" s="17"/>
      <c r="U385" t="s">
        <v>417</v>
      </c>
      <c r="V385" t="s">
        <v>417</v>
      </c>
      <c r="X385" s="31">
        <v>44169</v>
      </c>
      <c r="Y385" s="31">
        <v>44171</v>
      </c>
      <c r="AA385" s="31"/>
      <c r="AB385" t="s">
        <v>9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1</v>
      </c>
      <c r="AI385">
        <v>50020</v>
      </c>
      <c r="AJ385">
        <v>2111</v>
      </c>
      <c r="AK385">
        <v>0</v>
      </c>
      <c r="AL385">
        <v>19</v>
      </c>
      <c r="AO385" s="41"/>
      <c r="AP385" s="41"/>
      <c r="AQ385" t="str">
        <f t="shared" si="10"/>
        <v/>
      </c>
      <c r="AS385" t="str">
        <f t="shared" si="11"/>
        <v>wci_corp</v>
      </c>
    </row>
    <row r="386" spans="2:45" x14ac:dyDescent="0.2">
      <c r="B386" t="s">
        <v>202</v>
      </c>
      <c r="C386" s="31">
        <v>44165</v>
      </c>
      <c r="D386" s="15">
        <v>807.6</v>
      </c>
      <c r="E386" s="15">
        <v>0</v>
      </c>
      <c r="F386" s="53" t="s">
        <v>134</v>
      </c>
      <c r="G386" t="s">
        <v>414</v>
      </c>
      <c r="H386" s="41" t="s">
        <v>136</v>
      </c>
      <c r="I386" t="s">
        <v>415</v>
      </c>
      <c r="J386" t="s">
        <v>190</v>
      </c>
      <c r="K386" t="s">
        <v>139</v>
      </c>
      <c r="L386" s="17"/>
      <c r="M386" s="17"/>
      <c r="N386" s="17" t="s">
        <v>416</v>
      </c>
      <c r="O386" s="36"/>
      <c r="P386" s="17"/>
      <c r="Q386" s="17"/>
      <c r="U386" t="s">
        <v>417</v>
      </c>
      <c r="V386" t="s">
        <v>417</v>
      </c>
      <c r="X386" s="31">
        <v>44169</v>
      </c>
      <c r="Y386" s="31">
        <v>44171</v>
      </c>
      <c r="AA386" s="31"/>
      <c r="AB386" t="s">
        <v>9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1</v>
      </c>
      <c r="AI386">
        <v>50020</v>
      </c>
      <c r="AJ386">
        <v>2111</v>
      </c>
      <c r="AK386">
        <v>0</v>
      </c>
      <c r="AL386">
        <v>19</v>
      </c>
      <c r="AO386" s="41"/>
      <c r="AP386" s="41"/>
      <c r="AQ386" t="str">
        <f t="shared" si="10"/>
        <v/>
      </c>
      <c r="AS386" t="str">
        <f t="shared" si="11"/>
        <v>wci_corp</v>
      </c>
    </row>
    <row r="387" spans="2:45" x14ac:dyDescent="0.2">
      <c r="B387" t="s">
        <v>202</v>
      </c>
      <c r="C387" s="31">
        <v>44165</v>
      </c>
      <c r="D387" s="15">
        <v>1594.4</v>
      </c>
      <c r="E387" s="15">
        <v>0</v>
      </c>
      <c r="F387" s="53" t="s">
        <v>134</v>
      </c>
      <c r="G387" t="s">
        <v>414</v>
      </c>
      <c r="H387" s="41" t="s">
        <v>136</v>
      </c>
      <c r="I387" t="s">
        <v>415</v>
      </c>
      <c r="J387" t="s">
        <v>190</v>
      </c>
      <c r="K387" t="s">
        <v>139</v>
      </c>
      <c r="L387" s="17"/>
      <c r="M387" s="17"/>
      <c r="N387" s="17" t="s">
        <v>416</v>
      </c>
      <c r="O387" s="36"/>
      <c r="P387" s="17"/>
      <c r="Q387" s="17"/>
      <c r="U387" t="s">
        <v>417</v>
      </c>
      <c r="V387" t="s">
        <v>417</v>
      </c>
      <c r="X387" s="31">
        <v>44169</v>
      </c>
      <c r="Y387" s="31">
        <v>44171</v>
      </c>
      <c r="AA387" s="31"/>
      <c r="AB387" t="s">
        <v>9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1</v>
      </c>
      <c r="AI387">
        <v>50020</v>
      </c>
      <c r="AJ387">
        <v>2111</v>
      </c>
      <c r="AK387">
        <v>0</v>
      </c>
      <c r="AL387">
        <v>19</v>
      </c>
      <c r="AO387" s="41"/>
      <c r="AP387" s="41"/>
      <c r="AQ387" t="str">
        <f t="shared" si="10"/>
        <v/>
      </c>
      <c r="AS387" t="str">
        <f t="shared" si="11"/>
        <v>wci_corp</v>
      </c>
    </row>
    <row r="388" spans="2:45" x14ac:dyDescent="0.2">
      <c r="B388" t="s">
        <v>202</v>
      </c>
      <c r="C388" s="31">
        <v>44165</v>
      </c>
      <c r="D388" s="15">
        <v>1696</v>
      </c>
      <c r="E388" s="15">
        <v>0</v>
      </c>
      <c r="F388" s="53" t="s">
        <v>134</v>
      </c>
      <c r="G388" t="s">
        <v>414</v>
      </c>
      <c r="H388" s="41" t="s">
        <v>136</v>
      </c>
      <c r="I388" t="s">
        <v>415</v>
      </c>
      <c r="J388" t="s">
        <v>190</v>
      </c>
      <c r="K388" t="s">
        <v>139</v>
      </c>
      <c r="L388" s="17"/>
      <c r="M388" s="17"/>
      <c r="N388" s="17" t="s">
        <v>416</v>
      </c>
      <c r="O388" s="36"/>
      <c r="P388" s="17"/>
      <c r="Q388" s="17"/>
      <c r="U388" t="s">
        <v>417</v>
      </c>
      <c r="V388" t="s">
        <v>417</v>
      </c>
      <c r="X388" s="31">
        <v>44169</v>
      </c>
      <c r="Y388" s="31">
        <v>44171</v>
      </c>
      <c r="AA388" s="31"/>
      <c r="AB388" t="s">
        <v>9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1</v>
      </c>
      <c r="AI388">
        <v>50020</v>
      </c>
      <c r="AJ388">
        <v>2111</v>
      </c>
      <c r="AK388">
        <v>0</v>
      </c>
      <c r="AL388">
        <v>19</v>
      </c>
      <c r="AO388" s="41"/>
      <c r="AP388" s="41"/>
      <c r="AQ388" t="str">
        <f t="shared" si="10"/>
        <v/>
      </c>
      <c r="AS388" t="str">
        <f t="shared" si="11"/>
        <v>wci_corp</v>
      </c>
    </row>
    <row r="389" spans="2:45" x14ac:dyDescent="0.2">
      <c r="B389" t="s">
        <v>202</v>
      </c>
      <c r="C389" s="31">
        <v>44165</v>
      </c>
      <c r="D389" s="15">
        <v>653.04</v>
      </c>
      <c r="E389" s="15">
        <v>0</v>
      </c>
      <c r="F389" s="53" t="s">
        <v>134</v>
      </c>
      <c r="G389" t="s">
        <v>414</v>
      </c>
      <c r="H389" s="41" t="s">
        <v>136</v>
      </c>
      <c r="I389" t="s">
        <v>415</v>
      </c>
      <c r="J389" t="s">
        <v>190</v>
      </c>
      <c r="K389" t="s">
        <v>139</v>
      </c>
      <c r="L389" s="17"/>
      <c r="M389" s="17"/>
      <c r="N389" s="17" t="s">
        <v>416</v>
      </c>
      <c r="O389" s="36"/>
      <c r="P389" s="17"/>
      <c r="Q389" s="17"/>
      <c r="U389" t="s">
        <v>417</v>
      </c>
      <c r="V389" t="s">
        <v>417</v>
      </c>
      <c r="X389" s="31">
        <v>44169</v>
      </c>
      <c r="Y389" s="31">
        <v>44171</v>
      </c>
      <c r="AA389" s="31"/>
      <c r="AB389" t="s">
        <v>9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1</v>
      </c>
      <c r="AI389">
        <v>50020</v>
      </c>
      <c r="AJ389">
        <v>2111</v>
      </c>
      <c r="AK389">
        <v>0</v>
      </c>
      <c r="AL389">
        <v>19</v>
      </c>
      <c r="AO389" s="41"/>
      <c r="AP389" s="41"/>
      <c r="AQ389" t="str">
        <f t="shared" si="10"/>
        <v/>
      </c>
      <c r="AS389" t="str">
        <f t="shared" si="11"/>
        <v>wci_corp</v>
      </c>
    </row>
    <row r="390" spans="2:45" x14ac:dyDescent="0.2">
      <c r="B390" t="s">
        <v>207</v>
      </c>
      <c r="C390" s="31">
        <v>44165</v>
      </c>
      <c r="D390" s="15">
        <v>4290</v>
      </c>
      <c r="E390" s="15">
        <v>0</v>
      </c>
      <c r="F390" s="53" t="s">
        <v>134</v>
      </c>
      <c r="G390" t="s">
        <v>414</v>
      </c>
      <c r="H390" s="41" t="s">
        <v>136</v>
      </c>
      <c r="I390" t="s">
        <v>415</v>
      </c>
      <c r="J390" t="s">
        <v>190</v>
      </c>
      <c r="K390" t="s">
        <v>139</v>
      </c>
      <c r="L390" s="17"/>
      <c r="M390" s="17"/>
      <c r="N390" s="17" t="s">
        <v>416</v>
      </c>
      <c r="O390" s="36"/>
      <c r="P390" s="17"/>
      <c r="Q390" s="17"/>
      <c r="U390" t="s">
        <v>417</v>
      </c>
      <c r="V390" t="s">
        <v>417</v>
      </c>
      <c r="X390" s="31">
        <v>44169</v>
      </c>
      <c r="Y390" s="31">
        <v>44171</v>
      </c>
      <c r="AA390" s="31"/>
      <c r="AB390" t="s">
        <v>9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1</v>
      </c>
      <c r="AI390">
        <v>52020</v>
      </c>
      <c r="AJ390">
        <v>2111</v>
      </c>
      <c r="AK390">
        <v>0</v>
      </c>
      <c r="AL390">
        <v>19</v>
      </c>
      <c r="AO390" s="41"/>
      <c r="AP390" s="41"/>
      <c r="AQ390" t="str">
        <f t="shared" si="10"/>
        <v/>
      </c>
      <c r="AS390" t="str">
        <f t="shared" si="11"/>
        <v>wci_corp</v>
      </c>
    </row>
    <row r="391" spans="2:45" x14ac:dyDescent="0.2">
      <c r="B391" t="s">
        <v>418</v>
      </c>
      <c r="C391" s="31">
        <v>44165</v>
      </c>
      <c r="D391" s="15">
        <v>1200</v>
      </c>
      <c r="E391" s="15">
        <v>0</v>
      </c>
      <c r="F391" s="53" t="s">
        <v>134</v>
      </c>
      <c r="G391" t="s">
        <v>414</v>
      </c>
      <c r="H391" s="41" t="s">
        <v>136</v>
      </c>
      <c r="I391" t="s">
        <v>415</v>
      </c>
      <c r="J391" t="s">
        <v>190</v>
      </c>
      <c r="K391" t="s">
        <v>139</v>
      </c>
      <c r="L391" s="17"/>
      <c r="M391" s="17"/>
      <c r="N391" s="17" t="s">
        <v>416</v>
      </c>
      <c r="O391" s="36"/>
      <c r="P391" s="17"/>
      <c r="Q391" s="17"/>
      <c r="U391" t="s">
        <v>417</v>
      </c>
      <c r="V391" t="s">
        <v>417</v>
      </c>
      <c r="X391" s="31">
        <v>44169</v>
      </c>
      <c r="Y391" s="31">
        <v>44171</v>
      </c>
      <c r="AA391" s="31"/>
      <c r="AB391" t="s">
        <v>9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1</v>
      </c>
      <c r="AI391">
        <v>55020</v>
      </c>
      <c r="AJ391">
        <v>2111</v>
      </c>
      <c r="AK391">
        <v>0</v>
      </c>
      <c r="AL391">
        <v>19</v>
      </c>
      <c r="AO391" s="41"/>
      <c r="AP391" s="41"/>
      <c r="AQ391" t="str">
        <f t="shared" si="10"/>
        <v/>
      </c>
      <c r="AS391" t="str">
        <f t="shared" si="11"/>
        <v>wci_corp</v>
      </c>
    </row>
    <row r="392" spans="2:45" x14ac:dyDescent="0.2">
      <c r="B392" t="s">
        <v>142</v>
      </c>
      <c r="C392" s="31">
        <v>44165</v>
      </c>
      <c r="D392" s="15">
        <v>650</v>
      </c>
      <c r="E392" s="15">
        <v>0</v>
      </c>
      <c r="F392" s="53" t="s">
        <v>134</v>
      </c>
      <c r="G392" t="s">
        <v>414</v>
      </c>
      <c r="H392" s="41" t="s">
        <v>136</v>
      </c>
      <c r="I392" t="s">
        <v>415</v>
      </c>
      <c r="J392" t="s">
        <v>190</v>
      </c>
      <c r="K392" t="s">
        <v>139</v>
      </c>
      <c r="L392" s="17"/>
      <c r="M392" s="17"/>
      <c r="N392" s="17" t="s">
        <v>419</v>
      </c>
      <c r="O392" s="36"/>
      <c r="P392" s="17"/>
      <c r="Q392" s="17"/>
      <c r="U392" t="s">
        <v>417</v>
      </c>
      <c r="V392" t="s">
        <v>417</v>
      </c>
      <c r="X392" s="31">
        <v>44169</v>
      </c>
      <c r="Y392" s="31">
        <v>44171</v>
      </c>
      <c r="AA392" s="31"/>
      <c r="AB392" t="s">
        <v>9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1</v>
      </c>
      <c r="AI392">
        <v>70165</v>
      </c>
      <c r="AJ392">
        <v>2111</v>
      </c>
      <c r="AK392">
        <v>0</v>
      </c>
      <c r="AL392">
        <v>19</v>
      </c>
      <c r="AO392" s="41"/>
      <c r="AP392" s="41"/>
      <c r="AQ392" t="str">
        <f t="shared" si="10"/>
        <v/>
      </c>
      <c r="AS392" t="str">
        <f t="shared" si="11"/>
        <v>wci_corp</v>
      </c>
    </row>
    <row r="393" spans="2:45" x14ac:dyDescent="0.2">
      <c r="B393" t="s">
        <v>142</v>
      </c>
      <c r="C393" s="31">
        <v>44165</v>
      </c>
      <c r="D393" s="15">
        <v>25</v>
      </c>
      <c r="E393" s="15">
        <v>0</v>
      </c>
      <c r="F393" s="53" t="s">
        <v>134</v>
      </c>
      <c r="G393" t="s">
        <v>414</v>
      </c>
      <c r="H393" s="41" t="s">
        <v>136</v>
      </c>
      <c r="I393" t="s">
        <v>415</v>
      </c>
      <c r="J393" t="s">
        <v>190</v>
      </c>
      <c r="K393" t="s">
        <v>139</v>
      </c>
      <c r="L393" s="17"/>
      <c r="M393" s="17"/>
      <c r="N393" s="17" t="s">
        <v>419</v>
      </c>
      <c r="O393" s="36"/>
      <c r="P393" s="17"/>
      <c r="Q393" s="17"/>
      <c r="U393" t="s">
        <v>417</v>
      </c>
      <c r="V393" t="s">
        <v>417</v>
      </c>
      <c r="X393" s="31">
        <v>44169</v>
      </c>
      <c r="Y393" s="31">
        <v>44171</v>
      </c>
      <c r="AA393" s="31"/>
      <c r="AB393" t="s">
        <v>9</v>
      </c>
      <c r="AC393">
        <v>0</v>
      </c>
      <c r="AD393">
        <v>0</v>
      </c>
      <c r="AE393">
        <v>0</v>
      </c>
      <c r="AF393">
        <v>0</v>
      </c>
      <c r="AG393">
        <v>0</v>
      </c>
      <c r="AH393">
        <v>1</v>
      </c>
      <c r="AI393">
        <v>70165</v>
      </c>
      <c r="AJ393">
        <v>2111</v>
      </c>
      <c r="AK393">
        <v>0</v>
      </c>
      <c r="AL393">
        <v>19</v>
      </c>
      <c r="AO393" s="41"/>
      <c r="AP393" s="41"/>
      <c r="AQ393" t="str">
        <f t="shared" si="10"/>
        <v/>
      </c>
      <c r="AS393" t="str">
        <f t="shared" si="11"/>
        <v>wci_corp</v>
      </c>
    </row>
    <row r="394" spans="2:45" x14ac:dyDescent="0.2">
      <c r="B394" t="s">
        <v>142</v>
      </c>
      <c r="C394" s="31">
        <v>44165</v>
      </c>
      <c r="D394" s="15">
        <v>25</v>
      </c>
      <c r="E394" s="15">
        <v>0</v>
      </c>
      <c r="F394" s="53" t="s">
        <v>134</v>
      </c>
      <c r="G394" t="s">
        <v>414</v>
      </c>
      <c r="H394" s="41" t="s">
        <v>136</v>
      </c>
      <c r="I394" t="s">
        <v>415</v>
      </c>
      <c r="J394" t="s">
        <v>190</v>
      </c>
      <c r="K394" t="s">
        <v>139</v>
      </c>
      <c r="L394" s="17"/>
      <c r="M394" s="17"/>
      <c r="N394" s="17" t="s">
        <v>419</v>
      </c>
      <c r="O394" s="36"/>
      <c r="P394" s="17"/>
      <c r="Q394" s="17"/>
      <c r="U394" t="s">
        <v>417</v>
      </c>
      <c r="V394" t="s">
        <v>417</v>
      </c>
      <c r="X394" s="31">
        <v>44169</v>
      </c>
      <c r="Y394" s="31">
        <v>44171</v>
      </c>
      <c r="AA394" s="31"/>
      <c r="AB394" t="s">
        <v>9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1</v>
      </c>
      <c r="AI394">
        <v>70165</v>
      </c>
      <c r="AJ394">
        <v>2111</v>
      </c>
      <c r="AK394">
        <v>0</v>
      </c>
      <c r="AL394">
        <v>19</v>
      </c>
      <c r="AO394" s="41"/>
      <c r="AP394" s="41"/>
      <c r="AQ394" t="str">
        <f t="shared" si="10"/>
        <v/>
      </c>
      <c r="AS394" t="str">
        <f t="shared" si="11"/>
        <v>wci_corp</v>
      </c>
    </row>
    <row r="395" spans="2:45" x14ac:dyDescent="0.2">
      <c r="B395" t="s">
        <v>161</v>
      </c>
      <c r="C395" s="31">
        <v>44165</v>
      </c>
      <c r="D395" s="15">
        <v>110.2</v>
      </c>
      <c r="E395" s="15">
        <v>0</v>
      </c>
      <c r="F395" s="53" t="s">
        <v>134</v>
      </c>
      <c r="G395" t="s">
        <v>420</v>
      </c>
      <c r="H395" s="41" t="s">
        <v>136</v>
      </c>
      <c r="I395" t="s">
        <v>421</v>
      </c>
      <c r="J395" t="s">
        <v>190</v>
      </c>
      <c r="K395" t="s">
        <v>139</v>
      </c>
      <c r="L395" s="17"/>
      <c r="M395" s="17"/>
      <c r="N395" s="17" t="s">
        <v>422</v>
      </c>
      <c r="O395" s="36"/>
      <c r="P395" s="17"/>
      <c r="Q395" s="17"/>
      <c r="U395" t="s">
        <v>423</v>
      </c>
      <c r="V395" t="s">
        <v>423</v>
      </c>
      <c r="X395" s="31">
        <v>44169</v>
      </c>
      <c r="Y395" s="31">
        <v>44171</v>
      </c>
      <c r="AA395" s="31"/>
      <c r="AB395" t="s">
        <v>9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1</v>
      </c>
      <c r="AI395">
        <v>50050</v>
      </c>
      <c r="AJ395">
        <v>2111</v>
      </c>
      <c r="AK395">
        <v>0</v>
      </c>
      <c r="AL395">
        <v>19</v>
      </c>
      <c r="AO395" s="41"/>
      <c r="AP395" s="41"/>
      <c r="AQ395" t="str">
        <f t="shared" si="10"/>
        <v/>
      </c>
      <c r="AS395" t="str">
        <f t="shared" si="11"/>
        <v>wci_corp</v>
      </c>
    </row>
    <row r="396" spans="2:45" x14ac:dyDescent="0.2">
      <c r="B396" t="s">
        <v>161</v>
      </c>
      <c r="C396" s="31">
        <v>44165</v>
      </c>
      <c r="D396" s="15">
        <v>632.20000000000005</v>
      </c>
      <c r="E396" s="15">
        <v>0</v>
      </c>
      <c r="F396" s="53" t="s">
        <v>134</v>
      </c>
      <c r="G396" t="s">
        <v>420</v>
      </c>
      <c r="H396" s="41" t="s">
        <v>136</v>
      </c>
      <c r="I396" t="s">
        <v>421</v>
      </c>
      <c r="J396" t="s">
        <v>190</v>
      </c>
      <c r="K396" t="s">
        <v>139</v>
      </c>
      <c r="L396" s="17"/>
      <c r="M396" s="17"/>
      <c r="N396" s="17" t="s">
        <v>422</v>
      </c>
      <c r="O396" s="36"/>
      <c r="P396" s="17"/>
      <c r="Q396" s="17"/>
      <c r="U396" t="s">
        <v>423</v>
      </c>
      <c r="V396" t="s">
        <v>423</v>
      </c>
      <c r="X396" s="31">
        <v>44169</v>
      </c>
      <c r="Y396" s="31">
        <v>44171</v>
      </c>
      <c r="AA396" s="31"/>
      <c r="AB396" t="s">
        <v>9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1</v>
      </c>
      <c r="AI396">
        <v>50050</v>
      </c>
      <c r="AJ396">
        <v>2111</v>
      </c>
      <c r="AK396">
        <v>0</v>
      </c>
      <c r="AL396">
        <v>19</v>
      </c>
      <c r="AO396" s="41"/>
      <c r="AP396" s="41"/>
      <c r="AQ396" t="str">
        <f t="shared" si="10"/>
        <v/>
      </c>
      <c r="AS396" t="str">
        <f t="shared" si="11"/>
        <v>wci_corp</v>
      </c>
    </row>
    <row r="397" spans="2:45" x14ac:dyDescent="0.2">
      <c r="B397" t="s">
        <v>161</v>
      </c>
      <c r="C397" s="31">
        <v>44165</v>
      </c>
      <c r="D397" s="15">
        <v>435</v>
      </c>
      <c r="E397" s="15">
        <v>0</v>
      </c>
      <c r="F397" s="53" t="s">
        <v>134</v>
      </c>
      <c r="G397" t="s">
        <v>420</v>
      </c>
      <c r="H397" s="41" t="s">
        <v>136</v>
      </c>
      <c r="I397" t="s">
        <v>421</v>
      </c>
      <c r="J397" t="s">
        <v>190</v>
      </c>
      <c r="K397" t="s">
        <v>139</v>
      </c>
      <c r="L397" s="17"/>
      <c r="M397" s="17"/>
      <c r="N397" s="17" t="s">
        <v>422</v>
      </c>
      <c r="O397" s="36"/>
      <c r="P397" s="17"/>
      <c r="Q397" s="17"/>
      <c r="U397" t="s">
        <v>423</v>
      </c>
      <c r="V397" t="s">
        <v>423</v>
      </c>
      <c r="X397" s="31">
        <v>44169</v>
      </c>
      <c r="Y397" s="31">
        <v>44171</v>
      </c>
      <c r="AA397" s="31"/>
      <c r="AB397" t="s">
        <v>9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1</v>
      </c>
      <c r="AI397">
        <v>50050</v>
      </c>
      <c r="AJ397">
        <v>2111</v>
      </c>
      <c r="AK397">
        <v>0</v>
      </c>
      <c r="AL397">
        <v>19</v>
      </c>
      <c r="AO397" s="41"/>
      <c r="AP397" s="41"/>
      <c r="AQ397" t="str">
        <f t="shared" si="10"/>
        <v/>
      </c>
      <c r="AS397" t="str">
        <f t="shared" si="11"/>
        <v>wci_corp</v>
      </c>
    </row>
    <row r="398" spans="2:45" x14ac:dyDescent="0.2">
      <c r="B398" t="s">
        <v>161</v>
      </c>
      <c r="C398" s="31">
        <v>44165</v>
      </c>
      <c r="D398" s="15">
        <v>11.6</v>
      </c>
      <c r="E398" s="15">
        <v>0</v>
      </c>
      <c r="F398" s="53" t="s">
        <v>134</v>
      </c>
      <c r="G398" t="s">
        <v>420</v>
      </c>
      <c r="H398" s="41" t="s">
        <v>136</v>
      </c>
      <c r="I398" t="s">
        <v>421</v>
      </c>
      <c r="J398" t="s">
        <v>190</v>
      </c>
      <c r="K398" t="s">
        <v>139</v>
      </c>
      <c r="L398" s="17"/>
      <c r="M398" s="17"/>
      <c r="N398" s="17" t="s">
        <v>422</v>
      </c>
      <c r="O398" s="36"/>
      <c r="P398" s="17"/>
      <c r="Q398" s="17"/>
      <c r="U398" t="s">
        <v>423</v>
      </c>
      <c r="V398" t="s">
        <v>423</v>
      </c>
      <c r="X398" s="31">
        <v>44169</v>
      </c>
      <c r="Y398" s="31">
        <v>44171</v>
      </c>
      <c r="AA398" s="31"/>
      <c r="AB398" t="s">
        <v>9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1</v>
      </c>
      <c r="AI398">
        <v>50050</v>
      </c>
      <c r="AJ398">
        <v>2111</v>
      </c>
      <c r="AK398">
        <v>0</v>
      </c>
      <c r="AL398">
        <v>19</v>
      </c>
      <c r="AO398" s="41"/>
      <c r="AP398" s="41"/>
      <c r="AQ398" t="str">
        <f t="shared" si="10"/>
        <v/>
      </c>
      <c r="AS398" t="str">
        <f t="shared" si="11"/>
        <v>wci_corp</v>
      </c>
    </row>
    <row r="399" spans="2:45" x14ac:dyDescent="0.2">
      <c r="B399" t="s">
        <v>161</v>
      </c>
      <c r="C399" s="31">
        <v>44165</v>
      </c>
      <c r="D399" s="15">
        <v>121.8</v>
      </c>
      <c r="E399" s="15">
        <v>0</v>
      </c>
      <c r="F399" s="53" t="s">
        <v>134</v>
      </c>
      <c r="G399" t="s">
        <v>420</v>
      </c>
      <c r="H399" s="41" t="s">
        <v>136</v>
      </c>
      <c r="I399" t="s">
        <v>421</v>
      </c>
      <c r="J399" t="s">
        <v>190</v>
      </c>
      <c r="K399" t="s">
        <v>139</v>
      </c>
      <c r="L399" s="17"/>
      <c r="M399" s="17"/>
      <c r="N399" s="17" t="s">
        <v>422</v>
      </c>
      <c r="O399" s="36"/>
      <c r="P399" s="17"/>
      <c r="Q399" s="17"/>
      <c r="U399" t="s">
        <v>423</v>
      </c>
      <c r="V399" t="s">
        <v>423</v>
      </c>
      <c r="X399" s="31">
        <v>44169</v>
      </c>
      <c r="Y399" s="31">
        <v>44171</v>
      </c>
      <c r="AA399" s="31"/>
      <c r="AB399" t="s">
        <v>9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1</v>
      </c>
      <c r="AI399">
        <v>50050</v>
      </c>
      <c r="AJ399">
        <v>2111</v>
      </c>
      <c r="AK399">
        <v>0</v>
      </c>
      <c r="AL399">
        <v>19</v>
      </c>
      <c r="AO399" s="41"/>
      <c r="AP399" s="41"/>
      <c r="AQ399" t="str">
        <f t="shared" si="10"/>
        <v/>
      </c>
      <c r="AS399" t="str">
        <f t="shared" si="11"/>
        <v>wci_corp</v>
      </c>
    </row>
    <row r="400" spans="2:45" x14ac:dyDescent="0.2">
      <c r="B400" t="s">
        <v>161</v>
      </c>
      <c r="C400" s="31">
        <v>44165</v>
      </c>
      <c r="D400" s="15">
        <v>185.6</v>
      </c>
      <c r="E400" s="15">
        <v>0</v>
      </c>
      <c r="F400" s="53" t="s">
        <v>134</v>
      </c>
      <c r="G400" t="s">
        <v>420</v>
      </c>
      <c r="H400" s="41" t="s">
        <v>136</v>
      </c>
      <c r="I400" t="s">
        <v>421</v>
      </c>
      <c r="J400" t="s">
        <v>190</v>
      </c>
      <c r="K400" t="s">
        <v>139</v>
      </c>
      <c r="L400" s="17"/>
      <c r="M400" s="17"/>
      <c r="N400" s="17" t="s">
        <v>422</v>
      </c>
      <c r="O400" s="36"/>
      <c r="P400" s="17"/>
      <c r="Q400" s="17"/>
      <c r="U400" t="s">
        <v>423</v>
      </c>
      <c r="V400" t="s">
        <v>423</v>
      </c>
      <c r="X400" s="31">
        <v>44169</v>
      </c>
      <c r="Y400" s="31">
        <v>44171</v>
      </c>
      <c r="AA400" s="31"/>
      <c r="AB400" t="s">
        <v>9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1</v>
      </c>
      <c r="AI400">
        <v>50050</v>
      </c>
      <c r="AJ400">
        <v>2111</v>
      </c>
      <c r="AK400">
        <v>0</v>
      </c>
      <c r="AL400">
        <v>19</v>
      </c>
      <c r="AO400" s="41"/>
      <c r="AP400" s="41"/>
      <c r="AQ400" t="str">
        <f t="shared" si="10"/>
        <v/>
      </c>
      <c r="AS400" t="str">
        <f t="shared" si="11"/>
        <v>wci_corp</v>
      </c>
    </row>
    <row r="401" spans="2:45" x14ac:dyDescent="0.2">
      <c r="B401" t="s">
        <v>161</v>
      </c>
      <c r="C401" s="31">
        <v>44165</v>
      </c>
      <c r="D401" s="15">
        <v>52.2</v>
      </c>
      <c r="E401" s="15">
        <v>0</v>
      </c>
      <c r="F401" s="53" t="s">
        <v>134</v>
      </c>
      <c r="G401" t="s">
        <v>420</v>
      </c>
      <c r="H401" s="41" t="s">
        <v>136</v>
      </c>
      <c r="I401" t="s">
        <v>421</v>
      </c>
      <c r="J401" t="s">
        <v>190</v>
      </c>
      <c r="K401" t="s">
        <v>139</v>
      </c>
      <c r="L401" s="17"/>
      <c r="M401" s="17"/>
      <c r="N401" s="17" t="s">
        <v>422</v>
      </c>
      <c r="O401" s="36"/>
      <c r="P401" s="17"/>
      <c r="Q401" s="17"/>
      <c r="U401" t="s">
        <v>423</v>
      </c>
      <c r="V401" t="s">
        <v>423</v>
      </c>
      <c r="X401" s="31">
        <v>44169</v>
      </c>
      <c r="Y401" s="31">
        <v>44171</v>
      </c>
      <c r="AA401" s="31"/>
      <c r="AB401" t="s">
        <v>9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1</v>
      </c>
      <c r="AI401">
        <v>50050</v>
      </c>
      <c r="AJ401">
        <v>2111</v>
      </c>
      <c r="AK401">
        <v>0</v>
      </c>
      <c r="AL401">
        <v>19</v>
      </c>
      <c r="AO401" s="41"/>
      <c r="AP401" s="41"/>
      <c r="AQ401" t="str">
        <f t="shared" si="10"/>
        <v/>
      </c>
      <c r="AS401" t="str">
        <f t="shared" si="11"/>
        <v>wci_corp</v>
      </c>
    </row>
    <row r="402" spans="2:45" x14ac:dyDescent="0.2">
      <c r="B402" t="s">
        <v>161</v>
      </c>
      <c r="C402" s="31">
        <v>44165</v>
      </c>
      <c r="D402" s="15">
        <v>471.2</v>
      </c>
      <c r="E402" s="15">
        <v>0</v>
      </c>
      <c r="F402" s="53" t="s">
        <v>134</v>
      </c>
      <c r="G402" t="s">
        <v>420</v>
      </c>
      <c r="H402" s="41" t="s">
        <v>136</v>
      </c>
      <c r="I402" t="s">
        <v>421</v>
      </c>
      <c r="J402" t="s">
        <v>190</v>
      </c>
      <c r="K402" t="s">
        <v>139</v>
      </c>
      <c r="L402" s="17"/>
      <c r="M402" s="17"/>
      <c r="N402" s="17" t="s">
        <v>424</v>
      </c>
      <c r="O402" s="36"/>
      <c r="P402" s="17"/>
      <c r="Q402" s="17"/>
      <c r="U402" t="s">
        <v>423</v>
      </c>
      <c r="V402" t="s">
        <v>423</v>
      </c>
      <c r="X402" s="31">
        <v>44169</v>
      </c>
      <c r="Y402" s="31">
        <v>44171</v>
      </c>
      <c r="AA402" s="31"/>
      <c r="AB402" t="s">
        <v>9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1</v>
      </c>
      <c r="AI402">
        <v>50050</v>
      </c>
      <c r="AJ402">
        <v>2111</v>
      </c>
      <c r="AK402">
        <v>0</v>
      </c>
      <c r="AL402">
        <v>19</v>
      </c>
      <c r="AO402" s="41"/>
      <c r="AP402" s="41"/>
      <c r="AQ402" t="str">
        <f t="shared" si="10"/>
        <v/>
      </c>
      <c r="AS402" t="str">
        <f t="shared" si="11"/>
        <v>wci_corp</v>
      </c>
    </row>
    <row r="403" spans="2:45" x14ac:dyDescent="0.2">
      <c r="B403" t="s">
        <v>161</v>
      </c>
      <c r="C403" s="31">
        <v>44165</v>
      </c>
      <c r="D403" s="15">
        <v>2703.2</v>
      </c>
      <c r="E403" s="15">
        <v>0</v>
      </c>
      <c r="F403" s="53" t="s">
        <v>134</v>
      </c>
      <c r="G403" t="s">
        <v>420</v>
      </c>
      <c r="H403" s="41" t="s">
        <v>136</v>
      </c>
      <c r="I403" t="s">
        <v>421</v>
      </c>
      <c r="J403" t="s">
        <v>190</v>
      </c>
      <c r="K403" t="s">
        <v>139</v>
      </c>
      <c r="L403" s="17"/>
      <c r="M403" s="17"/>
      <c r="N403" s="17" t="s">
        <v>424</v>
      </c>
      <c r="O403" s="36"/>
      <c r="P403" s="17"/>
      <c r="Q403" s="17"/>
      <c r="U403" t="s">
        <v>423</v>
      </c>
      <c r="V403" t="s">
        <v>423</v>
      </c>
      <c r="X403" s="31">
        <v>44169</v>
      </c>
      <c r="Y403" s="31">
        <v>44171</v>
      </c>
      <c r="AA403" s="31"/>
      <c r="AB403" t="s">
        <v>9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1</v>
      </c>
      <c r="AI403">
        <v>50050</v>
      </c>
      <c r="AJ403">
        <v>2111</v>
      </c>
      <c r="AK403">
        <v>0</v>
      </c>
      <c r="AL403">
        <v>19</v>
      </c>
      <c r="AO403" s="41"/>
      <c r="AP403" s="41"/>
      <c r="AQ403" t="str">
        <f t="shared" si="10"/>
        <v/>
      </c>
      <c r="AS403" t="str">
        <f t="shared" si="11"/>
        <v>wci_corp</v>
      </c>
    </row>
    <row r="404" spans="2:45" x14ac:dyDescent="0.2">
      <c r="B404" t="s">
        <v>161</v>
      </c>
      <c r="C404" s="31">
        <v>44165</v>
      </c>
      <c r="D404" s="15">
        <v>1860</v>
      </c>
      <c r="E404" s="15">
        <v>0</v>
      </c>
      <c r="F404" s="53" t="s">
        <v>134</v>
      </c>
      <c r="G404" t="s">
        <v>420</v>
      </c>
      <c r="H404" s="41" t="s">
        <v>136</v>
      </c>
      <c r="I404" t="s">
        <v>421</v>
      </c>
      <c r="J404" t="s">
        <v>190</v>
      </c>
      <c r="K404" t="s">
        <v>139</v>
      </c>
      <c r="L404" s="17"/>
      <c r="M404" s="17"/>
      <c r="N404" s="17" t="s">
        <v>424</v>
      </c>
      <c r="O404" s="36"/>
      <c r="P404" s="17"/>
      <c r="Q404" s="17"/>
      <c r="U404" t="s">
        <v>423</v>
      </c>
      <c r="V404" t="s">
        <v>423</v>
      </c>
      <c r="X404" s="31">
        <v>44169</v>
      </c>
      <c r="Y404" s="31">
        <v>44171</v>
      </c>
      <c r="AA404" s="31"/>
      <c r="AB404" t="s">
        <v>9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1</v>
      </c>
      <c r="AI404">
        <v>50050</v>
      </c>
      <c r="AJ404">
        <v>2111</v>
      </c>
      <c r="AK404">
        <v>0</v>
      </c>
      <c r="AL404">
        <v>19</v>
      </c>
      <c r="AO404" s="41"/>
      <c r="AP404" s="41"/>
      <c r="AQ404" t="str">
        <f t="shared" si="10"/>
        <v/>
      </c>
      <c r="AS404" t="str">
        <f t="shared" si="11"/>
        <v>wci_corp</v>
      </c>
    </row>
    <row r="405" spans="2:45" x14ac:dyDescent="0.2">
      <c r="B405" t="s">
        <v>161</v>
      </c>
      <c r="C405" s="31">
        <v>44165</v>
      </c>
      <c r="D405" s="15">
        <v>49.6</v>
      </c>
      <c r="E405" s="15">
        <v>0</v>
      </c>
      <c r="F405" s="53" t="s">
        <v>134</v>
      </c>
      <c r="G405" t="s">
        <v>420</v>
      </c>
      <c r="H405" s="41" t="s">
        <v>136</v>
      </c>
      <c r="I405" t="s">
        <v>421</v>
      </c>
      <c r="J405" t="s">
        <v>190</v>
      </c>
      <c r="K405" t="s">
        <v>139</v>
      </c>
      <c r="L405" s="17"/>
      <c r="M405" s="17"/>
      <c r="N405" s="17" t="s">
        <v>424</v>
      </c>
      <c r="O405" s="36"/>
      <c r="P405" s="17"/>
      <c r="Q405" s="17"/>
      <c r="U405" t="s">
        <v>423</v>
      </c>
      <c r="V405" t="s">
        <v>423</v>
      </c>
      <c r="X405" s="31">
        <v>44169</v>
      </c>
      <c r="Y405" s="31">
        <v>44171</v>
      </c>
      <c r="AA405" s="31"/>
      <c r="AB405" t="s">
        <v>9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1</v>
      </c>
      <c r="AI405">
        <v>50050</v>
      </c>
      <c r="AJ405">
        <v>2111</v>
      </c>
      <c r="AK405">
        <v>0</v>
      </c>
      <c r="AL405">
        <v>19</v>
      </c>
      <c r="AO405" s="41"/>
      <c r="AP405" s="41"/>
      <c r="AQ405" t="str">
        <f t="shared" ref="AQ405:AQ468" si="12">IF(LEFT(U405,2)="VO",U405,"")</f>
        <v/>
      </c>
      <c r="AS405" t="str">
        <f t="shared" ref="AS405:AS468" si="13">IF(RIGHT(K405,2)="IC",IF(OR(AB405="wci_canada",AB405="wci_can_corp"),"wci_can_Corp","wci_corp"),AB405)</f>
        <v>wci_corp</v>
      </c>
    </row>
    <row r="406" spans="2:45" x14ac:dyDescent="0.2">
      <c r="B406" t="s">
        <v>161</v>
      </c>
      <c r="C406" s="31">
        <v>44165</v>
      </c>
      <c r="D406" s="15">
        <v>520.79999999999995</v>
      </c>
      <c r="E406" s="15">
        <v>0</v>
      </c>
      <c r="F406" s="53" t="s">
        <v>134</v>
      </c>
      <c r="G406" t="s">
        <v>420</v>
      </c>
      <c r="H406" s="41" t="s">
        <v>136</v>
      </c>
      <c r="I406" t="s">
        <v>421</v>
      </c>
      <c r="J406" t="s">
        <v>190</v>
      </c>
      <c r="K406" t="s">
        <v>139</v>
      </c>
      <c r="L406" s="17"/>
      <c r="M406" s="17"/>
      <c r="N406" s="17" t="s">
        <v>424</v>
      </c>
      <c r="O406" s="36"/>
      <c r="P406" s="17"/>
      <c r="Q406" s="17"/>
      <c r="U406" t="s">
        <v>423</v>
      </c>
      <c r="V406" t="s">
        <v>423</v>
      </c>
      <c r="X406" s="31">
        <v>44169</v>
      </c>
      <c r="Y406" s="31">
        <v>44171</v>
      </c>
      <c r="AA406" s="31"/>
      <c r="AB406" t="s">
        <v>9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1</v>
      </c>
      <c r="AI406">
        <v>50050</v>
      </c>
      <c r="AJ406">
        <v>2111</v>
      </c>
      <c r="AK406">
        <v>0</v>
      </c>
      <c r="AL406">
        <v>19</v>
      </c>
      <c r="AO406" s="41"/>
      <c r="AP406" s="41"/>
      <c r="AQ406" t="str">
        <f t="shared" si="12"/>
        <v/>
      </c>
      <c r="AS406" t="str">
        <f t="shared" si="13"/>
        <v>wci_corp</v>
      </c>
    </row>
    <row r="407" spans="2:45" x14ac:dyDescent="0.2">
      <c r="B407" t="s">
        <v>161</v>
      </c>
      <c r="C407" s="31">
        <v>44165</v>
      </c>
      <c r="D407" s="15">
        <v>793.6</v>
      </c>
      <c r="E407" s="15">
        <v>0</v>
      </c>
      <c r="F407" s="53" t="s">
        <v>134</v>
      </c>
      <c r="G407" t="s">
        <v>420</v>
      </c>
      <c r="H407" s="41" t="s">
        <v>136</v>
      </c>
      <c r="I407" t="s">
        <v>421</v>
      </c>
      <c r="J407" t="s">
        <v>190</v>
      </c>
      <c r="K407" t="s">
        <v>139</v>
      </c>
      <c r="L407" s="17"/>
      <c r="M407" s="17"/>
      <c r="N407" s="17" t="s">
        <v>424</v>
      </c>
      <c r="O407" s="36"/>
      <c r="P407" s="17"/>
      <c r="Q407" s="17"/>
      <c r="U407" t="s">
        <v>423</v>
      </c>
      <c r="V407" t="s">
        <v>423</v>
      </c>
      <c r="X407" s="31">
        <v>44169</v>
      </c>
      <c r="Y407" s="31">
        <v>44171</v>
      </c>
      <c r="AA407" s="31"/>
      <c r="AB407" t="s">
        <v>9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1</v>
      </c>
      <c r="AI407">
        <v>50050</v>
      </c>
      <c r="AJ407">
        <v>2111</v>
      </c>
      <c r="AK407">
        <v>0</v>
      </c>
      <c r="AL407">
        <v>19</v>
      </c>
      <c r="AO407" s="41"/>
      <c r="AP407" s="41"/>
      <c r="AQ407" t="str">
        <f t="shared" si="12"/>
        <v/>
      </c>
      <c r="AS407" t="str">
        <f t="shared" si="13"/>
        <v>wci_corp</v>
      </c>
    </row>
    <row r="408" spans="2:45" x14ac:dyDescent="0.2">
      <c r="B408" t="s">
        <v>161</v>
      </c>
      <c r="C408" s="31">
        <v>44165</v>
      </c>
      <c r="D408" s="15">
        <v>223.2</v>
      </c>
      <c r="E408" s="15">
        <v>0</v>
      </c>
      <c r="F408" s="53" t="s">
        <v>134</v>
      </c>
      <c r="G408" t="s">
        <v>420</v>
      </c>
      <c r="H408" s="41" t="s">
        <v>136</v>
      </c>
      <c r="I408" t="s">
        <v>421</v>
      </c>
      <c r="J408" t="s">
        <v>190</v>
      </c>
      <c r="K408" t="s">
        <v>139</v>
      </c>
      <c r="L408" s="17"/>
      <c r="M408" s="17"/>
      <c r="N408" s="17" t="s">
        <v>424</v>
      </c>
      <c r="O408" s="36"/>
      <c r="P408" s="17"/>
      <c r="Q408" s="17"/>
      <c r="U408" t="s">
        <v>423</v>
      </c>
      <c r="V408" t="s">
        <v>423</v>
      </c>
      <c r="X408" s="31">
        <v>44169</v>
      </c>
      <c r="Y408" s="31">
        <v>44171</v>
      </c>
      <c r="AA408" s="31"/>
      <c r="AB408" t="s">
        <v>9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1</v>
      </c>
      <c r="AI408">
        <v>50050</v>
      </c>
      <c r="AJ408">
        <v>2111</v>
      </c>
      <c r="AK408">
        <v>0</v>
      </c>
      <c r="AL408">
        <v>19</v>
      </c>
      <c r="AO408" s="41"/>
      <c r="AP408" s="41"/>
      <c r="AQ408" t="str">
        <f t="shared" si="12"/>
        <v/>
      </c>
      <c r="AS408" t="str">
        <f t="shared" si="13"/>
        <v>wci_corp</v>
      </c>
    </row>
    <row r="409" spans="2:45" x14ac:dyDescent="0.2">
      <c r="B409" t="s">
        <v>163</v>
      </c>
      <c r="C409" s="31">
        <v>44165</v>
      </c>
      <c r="D409" s="15">
        <v>1041.5999999999999</v>
      </c>
      <c r="E409" s="15">
        <v>0</v>
      </c>
      <c r="F409" s="53" t="s">
        <v>134</v>
      </c>
      <c r="G409" t="s">
        <v>420</v>
      </c>
      <c r="H409" s="41" t="s">
        <v>136</v>
      </c>
      <c r="I409" t="s">
        <v>421</v>
      </c>
      <c r="J409" t="s">
        <v>190</v>
      </c>
      <c r="K409" t="s">
        <v>139</v>
      </c>
      <c r="L409" s="17"/>
      <c r="M409" s="17"/>
      <c r="N409" s="17" t="s">
        <v>424</v>
      </c>
      <c r="O409" s="36"/>
      <c r="P409" s="17"/>
      <c r="Q409" s="17"/>
      <c r="U409" t="s">
        <v>423</v>
      </c>
      <c r="V409" t="s">
        <v>423</v>
      </c>
      <c r="X409" s="31">
        <v>44169</v>
      </c>
      <c r="Y409" s="31">
        <v>44171</v>
      </c>
      <c r="AA409" s="31"/>
      <c r="AB409" t="s">
        <v>9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1</v>
      </c>
      <c r="AI409">
        <v>52050</v>
      </c>
      <c r="AJ409">
        <v>2111</v>
      </c>
      <c r="AK409">
        <v>0</v>
      </c>
      <c r="AL409">
        <v>19</v>
      </c>
      <c r="AO409" s="41"/>
      <c r="AP409" s="41"/>
      <c r="AQ409" t="str">
        <f t="shared" si="12"/>
        <v/>
      </c>
      <c r="AS409" t="str">
        <f t="shared" si="13"/>
        <v>wci_corp</v>
      </c>
    </row>
    <row r="410" spans="2:45" x14ac:dyDescent="0.2">
      <c r="B410" t="s">
        <v>163</v>
      </c>
      <c r="C410" s="31">
        <v>44165</v>
      </c>
      <c r="D410" s="15">
        <v>243.6</v>
      </c>
      <c r="E410" s="15">
        <v>0</v>
      </c>
      <c r="F410" s="53" t="s">
        <v>134</v>
      </c>
      <c r="G410" t="s">
        <v>420</v>
      </c>
      <c r="H410" s="41" t="s">
        <v>136</v>
      </c>
      <c r="I410" t="s">
        <v>421</v>
      </c>
      <c r="J410" t="s">
        <v>190</v>
      </c>
      <c r="K410" t="s">
        <v>139</v>
      </c>
      <c r="L410" s="17"/>
      <c r="M410" s="17"/>
      <c r="N410" s="17" t="s">
        <v>422</v>
      </c>
      <c r="O410" s="36"/>
      <c r="P410" s="17"/>
      <c r="Q410" s="17"/>
      <c r="U410" t="s">
        <v>423</v>
      </c>
      <c r="V410" t="s">
        <v>423</v>
      </c>
      <c r="X410" s="31">
        <v>44169</v>
      </c>
      <c r="Y410" s="31">
        <v>44171</v>
      </c>
      <c r="AA410" s="31"/>
      <c r="AB410" t="s">
        <v>9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1</v>
      </c>
      <c r="AI410">
        <v>52050</v>
      </c>
      <c r="AJ410">
        <v>2111</v>
      </c>
      <c r="AK410">
        <v>0</v>
      </c>
      <c r="AL410">
        <v>19</v>
      </c>
      <c r="AO410" s="41"/>
      <c r="AP410" s="41"/>
      <c r="AQ410" t="str">
        <f t="shared" si="12"/>
        <v/>
      </c>
      <c r="AS410" t="str">
        <f t="shared" si="13"/>
        <v>wci_corp</v>
      </c>
    </row>
    <row r="411" spans="2:45" x14ac:dyDescent="0.2">
      <c r="B411" t="s">
        <v>165</v>
      </c>
      <c r="C411" s="31">
        <v>44165</v>
      </c>
      <c r="D411" s="15">
        <v>75.400000000000006</v>
      </c>
      <c r="E411" s="15">
        <v>0</v>
      </c>
      <c r="F411" s="53" t="s">
        <v>134</v>
      </c>
      <c r="G411" t="s">
        <v>420</v>
      </c>
      <c r="H411" s="41" t="s">
        <v>136</v>
      </c>
      <c r="I411" t="s">
        <v>421</v>
      </c>
      <c r="J411" t="s">
        <v>190</v>
      </c>
      <c r="K411" t="s">
        <v>139</v>
      </c>
      <c r="L411" s="17"/>
      <c r="M411" s="17"/>
      <c r="N411" s="17" t="s">
        <v>422</v>
      </c>
      <c r="O411" s="36"/>
      <c r="P411" s="17"/>
      <c r="Q411" s="17"/>
      <c r="U411" t="s">
        <v>423</v>
      </c>
      <c r="V411" t="s">
        <v>423</v>
      </c>
      <c r="X411" s="31">
        <v>44169</v>
      </c>
      <c r="Y411" s="31">
        <v>44171</v>
      </c>
      <c r="AA411" s="31"/>
      <c r="AB411" t="s">
        <v>9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1</v>
      </c>
      <c r="AI411">
        <v>55050</v>
      </c>
      <c r="AJ411">
        <v>2111</v>
      </c>
      <c r="AK411">
        <v>0</v>
      </c>
      <c r="AL411">
        <v>19</v>
      </c>
      <c r="AO411" s="41"/>
      <c r="AP411" s="41"/>
      <c r="AQ411" t="str">
        <f t="shared" si="12"/>
        <v/>
      </c>
      <c r="AS411" t="str">
        <f t="shared" si="13"/>
        <v>wci_corp</v>
      </c>
    </row>
    <row r="412" spans="2:45" x14ac:dyDescent="0.2">
      <c r="B412" t="s">
        <v>165</v>
      </c>
      <c r="C412" s="31">
        <v>44165</v>
      </c>
      <c r="D412" s="15">
        <v>322.39999999999998</v>
      </c>
      <c r="E412" s="15">
        <v>0</v>
      </c>
      <c r="F412" s="53" t="s">
        <v>134</v>
      </c>
      <c r="G412" t="s">
        <v>420</v>
      </c>
      <c r="H412" s="41" t="s">
        <v>136</v>
      </c>
      <c r="I412" t="s">
        <v>421</v>
      </c>
      <c r="J412" t="s">
        <v>190</v>
      </c>
      <c r="K412" t="s">
        <v>139</v>
      </c>
      <c r="L412" s="17"/>
      <c r="M412" s="17"/>
      <c r="N412" s="17" t="s">
        <v>424</v>
      </c>
      <c r="O412" s="36"/>
      <c r="P412" s="17"/>
      <c r="Q412" s="17"/>
      <c r="U412" t="s">
        <v>423</v>
      </c>
      <c r="V412" t="s">
        <v>423</v>
      </c>
      <c r="X412" s="31">
        <v>44169</v>
      </c>
      <c r="Y412" s="31">
        <v>44171</v>
      </c>
      <c r="AA412" s="31"/>
      <c r="AB412" t="s">
        <v>9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1</v>
      </c>
      <c r="AI412">
        <v>55050</v>
      </c>
      <c r="AJ412">
        <v>2111</v>
      </c>
      <c r="AK412">
        <v>0</v>
      </c>
      <c r="AL412">
        <v>19</v>
      </c>
      <c r="AO412" s="41"/>
      <c r="AP412" s="41"/>
      <c r="AQ412" t="str">
        <f t="shared" si="12"/>
        <v/>
      </c>
      <c r="AS412" t="str">
        <f t="shared" si="13"/>
        <v>wci_corp</v>
      </c>
    </row>
    <row r="413" spans="2:45" x14ac:dyDescent="0.2">
      <c r="B413" t="s">
        <v>167</v>
      </c>
      <c r="C413" s="31">
        <v>44165</v>
      </c>
      <c r="D413" s="15">
        <v>49.6</v>
      </c>
      <c r="E413" s="15">
        <v>0</v>
      </c>
      <c r="F413" s="53" t="s">
        <v>134</v>
      </c>
      <c r="G413" t="s">
        <v>420</v>
      </c>
      <c r="H413" s="41" t="s">
        <v>136</v>
      </c>
      <c r="I413" t="s">
        <v>421</v>
      </c>
      <c r="J413" t="s">
        <v>190</v>
      </c>
      <c r="K413" t="s">
        <v>139</v>
      </c>
      <c r="L413" s="17"/>
      <c r="M413" s="17"/>
      <c r="N413" s="17" t="s">
        <v>424</v>
      </c>
      <c r="O413" s="36"/>
      <c r="P413" s="17"/>
      <c r="Q413" s="17"/>
      <c r="U413" t="s">
        <v>423</v>
      </c>
      <c r="V413" t="s">
        <v>423</v>
      </c>
      <c r="X413" s="31">
        <v>44169</v>
      </c>
      <c r="Y413" s="31">
        <v>44171</v>
      </c>
      <c r="AA413" s="31"/>
      <c r="AB413" t="s">
        <v>9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1</v>
      </c>
      <c r="AI413">
        <v>56050</v>
      </c>
      <c r="AJ413">
        <v>2111</v>
      </c>
      <c r="AK413">
        <v>0</v>
      </c>
      <c r="AL413">
        <v>19</v>
      </c>
      <c r="AO413" s="41"/>
      <c r="AP413" s="41"/>
      <c r="AQ413" t="str">
        <f t="shared" si="12"/>
        <v/>
      </c>
      <c r="AS413" t="str">
        <f t="shared" si="13"/>
        <v>wci_corp</v>
      </c>
    </row>
    <row r="414" spans="2:45" x14ac:dyDescent="0.2">
      <c r="B414" t="s">
        <v>167</v>
      </c>
      <c r="C414" s="31">
        <v>44165</v>
      </c>
      <c r="D414" s="15">
        <v>49.6</v>
      </c>
      <c r="E414" s="15">
        <v>0</v>
      </c>
      <c r="F414" s="53" t="s">
        <v>134</v>
      </c>
      <c r="G414" t="s">
        <v>420</v>
      </c>
      <c r="H414" s="41" t="s">
        <v>136</v>
      </c>
      <c r="I414" t="s">
        <v>421</v>
      </c>
      <c r="J414" t="s">
        <v>190</v>
      </c>
      <c r="K414" t="s">
        <v>139</v>
      </c>
      <c r="L414" s="17"/>
      <c r="M414" s="17"/>
      <c r="N414" s="17" t="s">
        <v>424</v>
      </c>
      <c r="O414" s="36"/>
      <c r="P414" s="17"/>
      <c r="Q414" s="17"/>
      <c r="U414" t="s">
        <v>423</v>
      </c>
      <c r="V414" t="s">
        <v>423</v>
      </c>
      <c r="X414" s="31">
        <v>44169</v>
      </c>
      <c r="Y414" s="31">
        <v>44171</v>
      </c>
      <c r="AA414" s="31"/>
      <c r="AB414" t="s">
        <v>9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1</v>
      </c>
      <c r="AI414">
        <v>56050</v>
      </c>
      <c r="AJ414">
        <v>2111</v>
      </c>
      <c r="AK414">
        <v>0</v>
      </c>
      <c r="AL414">
        <v>19</v>
      </c>
      <c r="AO414" s="41"/>
      <c r="AP414" s="41"/>
      <c r="AQ414" t="str">
        <f t="shared" si="12"/>
        <v/>
      </c>
      <c r="AS414" t="str">
        <f t="shared" si="13"/>
        <v>wci_corp</v>
      </c>
    </row>
    <row r="415" spans="2:45" x14ac:dyDescent="0.2">
      <c r="B415" t="s">
        <v>167</v>
      </c>
      <c r="C415" s="31">
        <v>44165</v>
      </c>
      <c r="D415" s="15">
        <v>11.6</v>
      </c>
      <c r="E415" s="15">
        <v>0</v>
      </c>
      <c r="F415" s="53" t="s">
        <v>134</v>
      </c>
      <c r="G415" t="s">
        <v>420</v>
      </c>
      <c r="H415" s="41" t="s">
        <v>136</v>
      </c>
      <c r="I415" t="s">
        <v>421</v>
      </c>
      <c r="J415" t="s">
        <v>190</v>
      </c>
      <c r="K415" t="s">
        <v>139</v>
      </c>
      <c r="L415" s="17"/>
      <c r="M415" s="17"/>
      <c r="N415" s="17" t="s">
        <v>422</v>
      </c>
      <c r="O415" s="36"/>
      <c r="P415" s="17"/>
      <c r="Q415" s="17"/>
      <c r="U415" t="s">
        <v>423</v>
      </c>
      <c r="V415" t="s">
        <v>423</v>
      </c>
      <c r="X415" s="31">
        <v>44169</v>
      </c>
      <c r="Y415" s="31">
        <v>44171</v>
      </c>
      <c r="AA415" s="31"/>
      <c r="AB415" t="s">
        <v>9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1</v>
      </c>
      <c r="AI415">
        <v>56050</v>
      </c>
      <c r="AJ415">
        <v>2111</v>
      </c>
      <c r="AK415">
        <v>0</v>
      </c>
      <c r="AL415">
        <v>19</v>
      </c>
      <c r="AO415" s="41"/>
      <c r="AP415" s="41"/>
      <c r="AQ415" t="str">
        <f t="shared" si="12"/>
        <v/>
      </c>
      <c r="AS415" t="str">
        <f t="shared" si="13"/>
        <v>wci_corp</v>
      </c>
    </row>
    <row r="416" spans="2:45" x14ac:dyDescent="0.2">
      <c r="B416" t="s">
        <v>167</v>
      </c>
      <c r="C416" s="31">
        <v>44165</v>
      </c>
      <c r="D416" s="15">
        <v>11.6</v>
      </c>
      <c r="E416" s="15">
        <v>0</v>
      </c>
      <c r="F416" s="53" t="s">
        <v>134</v>
      </c>
      <c r="G416" t="s">
        <v>420</v>
      </c>
      <c r="H416" s="41" t="s">
        <v>136</v>
      </c>
      <c r="I416" t="s">
        <v>421</v>
      </c>
      <c r="J416" t="s">
        <v>190</v>
      </c>
      <c r="K416" t="s">
        <v>139</v>
      </c>
      <c r="L416" s="17"/>
      <c r="M416" s="17"/>
      <c r="N416" s="17" t="s">
        <v>422</v>
      </c>
      <c r="O416" s="36"/>
      <c r="P416" s="17"/>
      <c r="Q416" s="17"/>
      <c r="U416" t="s">
        <v>423</v>
      </c>
      <c r="V416" t="s">
        <v>423</v>
      </c>
      <c r="X416" s="31">
        <v>44169</v>
      </c>
      <c r="Y416" s="31">
        <v>44171</v>
      </c>
      <c r="AA416" s="31"/>
      <c r="AB416" t="s">
        <v>9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1</v>
      </c>
      <c r="AI416">
        <v>56050</v>
      </c>
      <c r="AJ416">
        <v>2111</v>
      </c>
      <c r="AK416">
        <v>0</v>
      </c>
      <c r="AL416">
        <v>19</v>
      </c>
      <c r="AO416" s="41"/>
      <c r="AP416" s="41"/>
      <c r="AQ416" t="str">
        <f t="shared" si="12"/>
        <v/>
      </c>
      <c r="AS416" t="str">
        <f t="shared" si="13"/>
        <v>wci_corp</v>
      </c>
    </row>
    <row r="417" spans="2:45" x14ac:dyDescent="0.2">
      <c r="B417" t="s">
        <v>169</v>
      </c>
      <c r="C417" s="31">
        <v>44165</v>
      </c>
      <c r="D417" s="15">
        <v>261</v>
      </c>
      <c r="E417" s="15">
        <v>0</v>
      </c>
      <c r="F417" s="53" t="s">
        <v>134</v>
      </c>
      <c r="G417" t="s">
        <v>420</v>
      </c>
      <c r="H417" s="41" t="s">
        <v>136</v>
      </c>
      <c r="I417" t="s">
        <v>421</v>
      </c>
      <c r="J417" t="s">
        <v>190</v>
      </c>
      <c r="K417" t="s">
        <v>139</v>
      </c>
      <c r="L417" s="17"/>
      <c r="M417" s="17"/>
      <c r="N417" s="17" t="s">
        <v>422</v>
      </c>
      <c r="O417" s="36"/>
      <c r="P417" s="17"/>
      <c r="Q417" s="17"/>
      <c r="U417" t="s">
        <v>423</v>
      </c>
      <c r="V417" t="s">
        <v>423</v>
      </c>
      <c r="X417" s="31">
        <v>44169</v>
      </c>
      <c r="Y417" s="31">
        <v>44171</v>
      </c>
      <c r="AA417" s="31"/>
      <c r="AB417" t="s">
        <v>9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1</v>
      </c>
      <c r="AI417">
        <v>70050</v>
      </c>
      <c r="AJ417">
        <v>2111</v>
      </c>
      <c r="AK417">
        <v>0</v>
      </c>
      <c r="AL417">
        <v>19</v>
      </c>
      <c r="AO417" s="41"/>
      <c r="AP417" s="41"/>
      <c r="AQ417" t="str">
        <f t="shared" si="12"/>
        <v/>
      </c>
      <c r="AS417" t="str">
        <f t="shared" si="13"/>
        <v>wci_corp</v>
      </c>
    </row>
    <row r="418" spans="2:45" x14ac:dyDescent="0.2">
      <c r="B418" t="s">
        <v>169</v>
      </c>
      <c r="C418" s="31">
        <v>44165</v>
      </c>
      <c r="D418" s="15">
        <v>1116</v>
      </c>
      <c r="E418" s="15">
        <v>0</v>
      </c>
      <c r="F418" s="53" t="s">
        <v>134</v>
      </c>
      <c r="G418" t="s">
        <v>420</v>
      </c>
      <c r="H418" s="41" t="s">
        <v>136</v>
      </c>
      <c r="I418" t="s">
        <v>421</v>
      </c>
      <c r="J418" t="s">
        <v>190</v>
      </c>
      <c r="K418" t="s">
        <v>139</v>
      </c>
      <c r="L418" s="17"/>
      <c r="M418" s="17"/>
      <c r="N418" s="17" t="s">
        <v>424</v>
      </c>
      <c r="O418" s="36"/>
      <c r="P418" s="17"/>
      <c r="Q418" s="17"/>
      <c r="U418" t="s">
        <v>423</v>
      </c>
      <c r="V418" t="s">
        <v>423</v>
      </c>
      <c r="X418" s="31">
        <v>44169</v>
      </c>
      <c r="Y418" s="31">
        <v>44171</v>
      </c>
      <c r="AA418" s="31"/>
      <c r="AB418" t="s">
        <v>9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1</v>
      </c>
      <c r="AI418">
        <v>70050</v>
      </c>
      <c r="AJ418">
        <v>2111</v>
      </c>
      <c r="AK418">
        <v>0</v>
      </c>
      <c r="AL418">
        <v>19</v>
      </c>
      <c r="AO418" s="41"/>
      <c r="AP418" s="41"/>
      <c r="AQ418" t="str">
        <f t="shared" si="12"/>
        <v/>
      </c>
      <c r="AS418" t="str">
        <f t="shared" si="13"/>
        <v>wci_corp</v>
      </c>
    </row>
    <row r="419" spans="2:45" x14ac:dyDescent="0.2">
      <c r="B419" t="s">
        <v>156</v>
      </c>
      <c r="C419" s="31">
        <v>44165</v>
      </c>
      <c r="D419" s="15">
        <v>7600</v>
      </c>
      <c r="E419" s="15">
        <v>0</v>
      </c>
      <c r="F419" s="53" t="s">
        <v>134</v>
      </c>
      <c r="G419" t="s">
        <v>425</v>
      </c>
      <c r="H419" s="41" t="s">
        <v>136</v>
      </c>
      <c r="I419" t="s">
        <v>426</v>
      </c>
      <c r="J419" t="s">
        <v>190</v>
      </c>
      <c r="K419" t="s">
        <v>139</v>
      </c>
      <c r="L419" s="17"/>
      <c r="M419" s="17"/>
      <c r="N419" s="17" t="s">
        <v>427</v>
      </c>
      <c r="O419" s="36"/>
      <c r="P419" s="17"/>
      <c r="Q419" s="17"/>
      <c r="U419" t="s">
        <v>428</v>
      </c>
      <c r="V419" t="s">
        <v>428</v>
      </c>
      <c r="X419" s="31">
        <v>44169</v>
      </c>
      <c r="Y419" s="31">
        <v>44171</v>
      </c>
      <c r="AA419" s="31"/>
      <c r="AB419" t="s">
        <v>9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1</v>
      </c>
      <c r="AI419">
        <v>50036</v>
      </c>
      <c r="AJ419">
        <v>2111</v>
      </c>
      <c r="AK419">
        <v>0</v>
      </c>
      <c r="AL419">
        <v>19</v>
      </c>
      <c r="AO419" s="41"/>
      <c r="AP419" s="41"/>
      <c r="AQ419" t="str">
        <f t="shared" si="12"/>
        <v/>
      </c>
      <c r="AS419" t="str">
        <f t="shared" si="13"/>
        <v>wci_corp</v>
      </c>
    </row>
    <row r="420" spans="2:45" x14ac:dyDescent="0.2">
      <c r="B420" t="s">
        <v>193</v>
      </c>
      <c r="C420" s="31">
        <v>44165</v>
      </c>
      <c r="D420" s="15">
        <v>43600</v>
      </c>
      <c r="E420" s="15">
        <v>0</v>
      </c>
      <c r="F420" s="53" t="s">
        <v>134</v>
      </c>
      <c r="G420" t="s">
        <v>425</v>
      </c>
      <c r="H420" s="41" t="s">
        <v>136</v>
      </c>
      <c r="I420" t="s">
        <v>426</v>
      </c>
      <c r="J420" t="s">
        <v>190</v>
      </c>
      <c r="K420" t="s">
        <v>139</v>
      </c>
      <c r="L420" s="17"/>
      <c r="M420" s="17"/>
      <c r="N420" s="17" t="s">
        <v>427</v>
      </c>
      <c r="O420" s="36"/>
      <c r="P420" s="17"/>
      <c r="Q420" s="17"/>
      <c r="U420" t="s">
        <v>428</v>
      </c>
      <c r="V420" t="s">
        <v>428</v>
      </c>
      <c r="X420" s="31">
        <v>44169</v>
      </c>
      <c r="Y420" s="31">
        <v>44171</v>
      </c>
      <c r="AA420" s="31"/>
      <c r="AB420" t="s">
        <v>9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1</v>
      </c>
      <c r="AI420">
        <v>50036</v>
      </c>
      <c r="AJ420">
        <v>2111</v>
      </c>
      <c r="AK420">
        <v>100</v>
      </c>
      <c r="AL420">
        <v>19</v>
      </c>
      <c r="AO420" s="41"/>
      <c r="AP420" s="41"/>
      <c r="AQ420" t="str">
        <f t="shared" si="12"/>
        <v/>
      </c>
      <c r="AS420" t="str">
        <f t="shared" si="13"/>
        <v>wci_corp</v>
      </c>
    </row>
    <row r="421" spans="2:45" x14ac:dyDescent="0.2">
      <c r="B421" t="s">
        <v>194</v>
      </c>
      <c r="C421" s="31">
        <v>44165</v>
      </c>
      <c r="D421" s="15">
        <v>30000</v>
      </c>
      <c r="E421" s="15">
        <v>0</v>
      </c>
      <c r="F421" s="53" t="s">
        <v>134</v>
      </c>
      <c r="G421" t="s">
        <v>425</v>
      </c>
      <c r="H421" s="41" t="s">
        <v>136</v>
      </c>
      <c r="I421" t="s">
        <v>426</v>
      </c>
      <c r="J421" t="s">
        <v>190</v>
      </c>
      <c r="K421" t="s">
        <v>139</v>
      </c>
      <c r="L421" s="17"/>
      <c r="M421" s="17"/>
      <c r="N421" s="17" t="s">
        <v>427</v>
      </c>
      <c r="O421" s="36"/>
      <c r="P421" s="17"/>
      <c r="Q421" s="17"/>
      <c r="U421" t="s">
        <v>428</v>
      </c>
      <c r="V421" t="s">
        <v>428</v>
      </c>
      <c r="X421" s="31">
        <v>44169</v>
      </c>
      <c r="Y421" s="31">
        <v>44171</v>
      </c>
      <c r="AA421" s="31"/>
      <c r="AB421" t="s">
        <v>9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1</v>
      </c>
      <c r="AI421">
        <v>50036</v>
      </c>
      <c r="AJ421">
        <v>2111</v>
      </c>
      <c r="AK421">
        <v>200</v>
      </c>
      <c r="AL421">
        <v>19</v>
      </c>
      <c r="AO421" s="41"/>
      <c r="AP421" s="41"/>
      <c r="AQ421" t="str">
        <f t="shared" si="12"/>
        <v/>
      </c>
      <c r="AS421" t="str">
        <f t="shared" si="13"/>
        <v>wci_corp</v>
      </c>
    </row>
    <row r="422" spans="2:45" x14ac:dyDescent="0.2">
      <c r="B422" t="s">
        <v>195</v>
      </c>
      <c r="C422" s="31">
        <v>44165</v>
      </c>
      <c r="D422" s="15">
        <v>800</v>
      </c>
      <c r="E422" s="15">
        <v>0</v>
      </c>
      <c r="F422" s="53" t="s">
        <v>134</v>
      </c>
      <c r="G422" t="s">
        <v>425</v>
      </c>
      <c r="H422" s="41" t="s">
        <v>136</v>
      </c>
      <c r="I422" t="s">
        <v>426</v>
      </c>
      <c r="J422" t="s">
        <v>190</v>
      </c>
      <c r="K422" t="s">
        <v>139</v>
      </c>
      <c r="L422" s="17"/>
      <c r="M422" s="17"/>
      <c r="N422" s="17" t="s">
        <v>427</v>
      </c>
      <c r="O422" s="36"/>
      <c r="P422" s="17"/>
      <c r="Q422" s="17"/>
      <c r="U422" t="s">
        <v>428</v>
      </c>
      <c r="V422" t="s">
        <v>428</v>
      </c>
      <c r="X422" s="31">
        <v>44169</v>
      </c>
      <c r="Y422" s="31">
        <v>44171</v>
      </c>
      <c r="AA422" s="31"/>
      <c r="AB422" t="s">
        <v>9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1</v>
      </c>
      <c r="AI422">
        <v>50036</v>
      </c>
      <c r="AJ422">
        <v>2111</v>
      </c>
      <c r="AK422">
        <v>201</v>
      </c>
      <c r="AL422">
        <v>19</v>
      </c>
      <c r="AO422" s="41"/>
      <c r="AP422" s="41"/>
      <c r="AQ422" t="str">
        <f t="shared" si="12"/>
        <v/>
      </c>
      <c r="AS422" t="str">
        <f t="shared" si="13"/>
        <v>wci_corp</v>
      </c>
    </row>
    <row r="423" spans="2:45" x14ac:dyDescent="0.2">
      <c r="B423" t="s">
        <v>196</v>
      </c>
      <c r="C423" s="31">
        <v>44165</v>
      </c>
      <c r="D423" s="15">
        <v>8400</v>
      </c>
      <c r="E423" s="15">
        <v>0</v>
      </c>
      <c r="F423" s="53" t="s">
        <v>134</v>
      </c>
      <c r="G423" t="s">
        <v>425</v>
      </c>
      <c r="H423" s="41" t="s">
        <v>136</v>
      </c>
      <c r="I423" t="s">
        <v>426</v>
      </c>
      <c r="J423" t="s">
        <v>190</v>
      </c>
      <c r="K423" t="s">
        <v>139</v>
      </c>
      <c r="L423" s="17"/>
      <c r="M423" s="17"/>
      <c r="N423" s="17" t="s">
        <v>427</v>
      </c>
      <c r="O423" s="36"/>
      <c r="P423" s="17"/>
      <c r="Q423" s="17"/>
      <c r="U423" t="s">
        <v>428</v>
      </c>
      <c r="V423" t="s">
        <v>428</v>
      </c>
      <c r="X423" s="31">
        <v>44169</v>
      </c>
      <c r="Y423" s="31">
        <v>44171</v>
      </c>
      <c r="AA423" s="31"/>
      <c r="AB423" t="s">
        <v>9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1</v>
      </c>
      <c r="AI423">
        <v>50036</v>
      </c>
      <c r="AJ423">
        <v>2111</v>
      </c>
      <c r="AK423">
        <v>210</v>
      </c>
      <c r="AL423">
        <v>19</v>
      </c>
      <c r="AO423" s="41"/>
      <c r="AP423" s="41"/>
      <c r="AQ423" t="str">
        <f t="shared" si="12"/>
        <v/>
      </c>
      <c r="AS423" t="str">
        <f t="shared" si="13"/>
        <v>wci_corp</v>
      </c>
    </row>
    <row r="424" spans="2:45" x14ac:dyDescent="0.2">
      <c r="B424" t="s">
        <v>197</v>
      </c>
      <c r="C424" s="31">
        <v>44165</v>
      </c>
      <c r="D424" s="15">
        <v>12800</v>
      </c>
      <c r="E424" s="15">
        <v>0</v>
      </c>
      <c r="F424" s="53" t="s">
        <v>134</v>
      </c>
      <c r="G424" t="s">
        <v>425</v>
      </c>
      <c r="H424" s="41" t="s">
        <v>136</v>
      </c>
      <c r="I424" t="s">
        <v>426</v>
      </c>
      <c r="J424" t="s">
        <v>190</v>
      </c>
      <c r="K424" t="s">
        <v>139</v>
      </c>
      <c r="L424" s="17"/>
      <c r="M424" s="17"/>
      <c r="N424" s="17" t="s">
        <v>427</v>
      </c>
      <c r="O424" s="36"/>
      <c r="P424" s="17"/>
      <c r="Q424" s="17"/>
      <c r="U424" t="s">
        <v>428</v>
      </c>
      <c r="V424" t="s">
        <v>428</v>
      </c>
      <c r="X424" s="31">
        <v>44169</v>
      </c>
      <c r="Y424" s="31">
        <v>44171</v>
      </c>
      <c r="AA424" s="31"/>
      <c r="AB424" t="s">
        <v>9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1</v>
      </c>
      <c r="AI424">
        <v>50036</v>
      </c>
      <c r="AJ424">
        <v>2111</v>
      </c>
      <c r="AK424">
        <v>300</v>
      </c>
      <c r="AL424">
        <v>19</v>
      </c>
      <c r="AO424" s="41"/>
      <c r="AP424" s="41"/>
      <c r="AQ424" t="str">
        <f t="shared" si="12"/>
        <v/>
      </c>
      <c r="AS424" t="str">
        <f t="shared" si="13"/>
        <v>wci_corp</v>
      </c>
    </row>
    <row r="425" spans="2:45" x14ac:dyDescent="0.2">
      <c r="B425" t="s">
        <v>198</v>
      </c>
      <c r="C425" s="31">
        <v>44165</v>
      </c>
      <c r="D425" s="15">
        <v>3600</v>
      </c>
      <c r="E425" s="15">
        <v>0</v>
      </c>
      <c r="F425" s="53" t="s">
        <v>134</v>
      </c>
      <c r="G425" t="s">
        <v>425</v>
      </c>
      <c r="H425" s="41" t="s">
        <v>136</v>
      </c>
      <c r="I425" t="s">
        <v>426</v>
      </c>
      <c r="J425" t="s">
        <v>190</v>
      </c>
      <c r="K425" t="s">
        <v>139</v>
      </c>
      <c r="L425" s="17"/>
      <c r="M425" s="17"/>
      <c r="N425" s="17" t="s">
        <v>427</v>
      </c>
      <c r="O425" s="36"/>
      <c r="P425" s="17"/>
      <c r="Q425" s="17"/>
      <c r="U425" t="s">
        <v>428</v>
      </c>
      <c r="V425" t="s">
        <v>428</v>
      </c>
      <c r="X425" s="31">
        <v>44169</v>
      </c>
      <c r="Y425" s="31">
        <v>44171</v>
      </c>
      <c r="AA425" s="31"/>
      <c r="AB425" t="s">
        <v>9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1</v>
      </c>
      <c r="AI425">
        <v>50036</v>
      </c>
      <c r="AJ425">
        <v>2111</v>
      </c>
      <c r="AK425">
        <v>500</v>
      </c>
      <c r="AL425">
        <v>19</v>
      </c>
      <c r="AO425" s="41"/>
      <c r="AP425" s="41"/>
      <c r="AQ425" t="str">
        <f t="shared" si="12"/>
        <v/>
      </c>
      <c r="AS425" t="str">
        <f t="shared" si="13"/>
        <v>wci_corp</v>
      </c>
    </row>
    <row r="426" spans="2:45" x14ac:dyDescent="0.2">
      <c r="B426" t="s">
        <v>162</v>
      </c>
      <c r="C426" s="31">
        <v>44165</v>
      </c>
      <c r="D426" s="15">
        <v>16800</v>
      </c>
      <c r="E426" s="15">
        <v>0</v>
      </c>
      <c r="F426" s="53" t="s">
        <v>134</v>
      </c>
      <c r="G426" t="s">
        <v>425</v>
      </c>
      <c r="H426" s="41" t="s">
        <v>136</v>
      </c>
      <c r="I426" t="s">
        <v>426</v>
      </c>
      <c r="J426" t="s">
        <v>190</v>
      </c>
      <c r="K426" t="s">
        <v>139</v>
      </c>
      <c r="L426" s="17"/>
      <c r="M426" s="17"/>
      <c r="N426" s="17" t="s">
        <v>427</v>
      </c>
      <c r="O426" s="36"/>
      <c r="P426" s="17"/>
      <c r="Q426" s="17"/>
      <c r="U426" t="s">
        <v>428</v>
      </c>
      <c r="V426" t="s">
        <v>428</v>
      </c>
      <c r="X426" s="31">
        <v>44169</v>
      </c>
      <c r="Y426" s="31">
        <v>44171</v>
      </c>
      <c r="AA426" s="31"/>
      <c r="AB426" t="s">
        <v>9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1</v>
      </c>
      <c r="AI426">
        <v>52036</v>
      </c>
      <c r="AJ426">
        <v>2111</v>
      </c>
      <c r="AK426">
        <v>0</v>
      </c>
      <c r="AL426">
        <v>19</v>
      </c>
      <c r="AO426" s="41"/>
      <c r="AP426" s="41"/>
      <c r="AQ426" t="str">
        <f t="shared" si="12"/>
        <v/>
      </c>
      <c r="AS426" t="str">
        <f t="shared" si="13"/>
        <v>wci_corp</v>
      </c>
    </row>
    <row r="427" spans="2:45" x14ac:dyDescent="0.2">
      <c r="B427" t="s">
        <v>164</v>
      </c>
      <c r="C427" s="31">
        <v>44165</v>
      </c>
      <c r="D427" s="15">
        <v>5200</v>
      </c>
      <c r="E427" s="15">
        <v>0</v>
      </c>
      <c r="F427" s="53" t="s">
        <v>134</v>
      </c>
      <c r="G427" t="s">
        <v>425</v>
      </c>
      <c r="H427" s="41" t="s">
        <v>136</v>
      </c>
      <c r="I427" t="s">
        <v>426</v>
      </c>
      <c r="J427" t="s">
        <v>190</v>
      </c>
      <c r="K427" t="s">
        <v>139</v>
      </c>
      <c r="L427" s="17"/>
      <c r="M427" s="17"/>
      <c r="N427" s="17" t="s">
        <v>427</v>
      </c>
      <c r="O427" s="36"/>
      <c r="P427" s="17"/>
      <c r="Q427" s="17"/>
      <c r="U427" t="s">
        <v>428</v>
      </c>
      <c r="V427" t="s">
        <v>428</v>
      </c>
      <c r="X427" s="31">
        <v>44169</v>
      </c>
      <c r="Y427" s="31">
        <v>44171</v>
      </c>
      <c r="AA427" s="31"/>
      <c r="AB427" t="s">
        <v>9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1</v>
      </c>
      <c r="AI427">
        <v>55036</v>
      </c>
      <c r="AJ427">
        <v>2111</v>
      </c>
      <c r="AK427">
        <v>0</v>
      </c>
      <c r="AL427">
        <v>19</v>
      </c>
      <c r="AO427" s="41"/>
      <c r="AP427" s="41"/>
      <c r="AQ427" t="str">
        <f t="shared" si="12"/>
        <v/>
      </c>
      <c r="AS427" t="str">
        <f t="shared" si="13"/>
        <v>wci_corp</v>
      </c>
    </row>
    <row r="428" spans="2:45" x14ac:dyDescent="0.2">
      <c r="B428" t="s">
        <v>166</v>
      </c>
      <c r="C428" s="31">
        <v>44165</v>
      </c>
      <c r="D428" s="15">
        <v>800</v>
      </c>
      <c r="E428" s="15">
        <v>0</v>
      </c>
      <c r="F428" s="53" t="s">
        <v>134</v>
      </c>
      <c r="G428" t="s">
        <v>425</v>
      </c>
      <c r="H428" s="41" t="s">
        <v>136</v>
      </c>
      <c r="I428" t="s">
        <v>426</v>
      </c>
      <c r="J428" t="s">
        <v>190</v>
      </c>
      <c r="K428" t="s">
        <v>139</v>
      </c>
      <c r="L428" s="17"/>
      <c r="M428" s="17"/>
      <c r="N428" s="17" t="s">
        <v>427</v>
      </c>
      <c r="O428" s="36"/>
      <c r="P428" s="17"/>
      <c r="Q428" s="17"/>
      <c r="U428" t="s">
        <v>428</v>
      </c>
      <c r="V428" t="s">
        <v>428</v>
      </c>
      <c r="X428" s="31">
        <v>44169</v>
      </c>
      <c r="Y428" s="31">
        <v>44171</v>
      </c>
      <c r="AA428" s="31"/>
      <c r="AB428" t="s">
        <v>9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1</v>
      </c>
      <c r="AI428">
        <v>56036</v>
      </c>
      <c r="AJ428">
        <v>2111</v>
      </c>
      <c r="AK428">
        <v>0</v>
      </c>
      <c r="AL428">
        <v>19</v>
      </c>
      <c r="AO428" s="41"/>
      <c r="AP428" s="41"/>
      <c r="AQ428" t="str">
        <f t="shared" si="12"/>
        <v/>
      </c>
      <c r="AS428" t="str">
        <f t="shared" si="13"/>
        <v>wci_corp</v>
      </c>
    </row>
    <row r="429" spans="2:45" x14ac:dyDescent="0.2">
      <c r="B429" t="s">
        <v>201</v>
      </c>
      <c r="C429" s="31">
        <v>44165</v>
      </c>
      <c r="D429" s="15">
        <v>800</v>
      </c>
      <c r="E429" s="15">
        <v>0</v>
      </c>
      <c r="F429" s="53" t="s">
        <v>134</v>
      </c>
      <c r="G429" t="s">
        <v>425</v>
      </c>
      <c r="H429" s="41" t="s">
        <v>136</v>
      </c>
      <c r="I429" t="s">
        <v>426</v>
      </c>
      <c r="J429" t="s">
        <v>190</v>
      </c>
      <c r="K429" t="s">
        <v>139</v>
      </c>
      <c r="L429" s="17"/>
      <c r="M429" s="17"/>
      <c r="N429" s="17" t="s">
        <v>427</v>
      </c>
      <c r="O429" s="36"/>
      <c r="P429" s="17"/>
      <c r="Q429" s="17"/>
      <c r="U429" t="s">
        <v>428</v>
      </c>
      <c r="V429" t="s">
        <v>428</v>
      </c>
      <c r="X429" s="31">
        <v>44169</v>
      </c>
      <c r="Y429" s="31">
        <v>44171</v>
      </c>
      <c r="AA429" s="31"/>
      <c r="AB429" t="s">
        <v>9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1</v>
      </c>
      <c r="AI429">
        <v>56036</v>
      </c>
      <c r="AJ429">
        <v>2111</v>
      </c>
      <c r="AK429">
        <v>700</v>
      </c>
      <c r="AL429">
        <v>19</v>
      </c>
      <c r="AO429" s="41"/>
      <c r="AP429" s="41"/>
      <c r="AQ429" t="str">
        <f t="shared" si="12"/>
        <v/>
      </c>
      <c r="AS429" t="str">
        <f t="shared" si="13"/>
        <v>wci_corp</v>
      </c>
    </row>
    <row r="430" spans="2:45" x14ac:dyDescent="0.2">
      <c r="B430" t="s">
        <v>168</v>
      </c>
      <c r="C430" s="31">
        <v>44165</v>
      </c>
      <c r="D430" s="15">
        <v>18000</v>
      </c>
      <c r="E430" s="15">
        <v>0</v>
      </c>
      <c r="F430" s="53" t="s">
        <v>134</v>
      </c>
      <c r="G430" t="s">
        <v>425</v>
      </c>
      <c r="H430" s="41" t="s">
        <v>136</v>
      </c>
      <c r="I430" t="s">
        <v>426</v>
      </c>
      <c r="J430" t="s">
        <v>190</v>
      </c>
      <c r="K430" t="s">
        <v>139</v>
      </c>
      <c r="L430" s="17"/>
      <c r="M430" s="17"/>
      <c r="N430" s="17" t="s">
        <v>427</v>
      </c>
      <c r="O430" s="36"/>
      <c r="P430" s="17"/>
      <c r="Q430" s="17"/>
      <c r="U430" t="s">
        <v>428</v>
      </c>
      <c r="V430" t="s">
        <v>428</v>
      </c>
      <c r="X430" s="31">
        <v>44169</v>
      </c>
      <c r="Y430" s="31">
        <v>44171</v>
      </c>
      <c r="AA430" s="31"/>
      <c r="AB430" t="s">
        <v>9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1</v>
      </c>
      <c r="AI430">
        <v>70036</v>
      </c>
      <c r="AJ430">
        <v>2111</v>
      </c>
      <c r="AK430">
        <v>0</v>
      </c>
      <c r="AL430">
        <v>19</v>
      </c>
      <c r="AO430" s="41"/>
      <c r="AP430" s="41"/>
      <c r="AQ430" t="str">
        <f t="shared" si="12"/>
        <v/>
      </c>
      <c r="AS430" t="str">
        <f t="shared" si="13"/>
        <v>wci_corp</v>
      </c>
    </row>
    <row r="431" spans="2:45" x14ac:dyDescent="0.2">
      <c r="B431" t="s">
        <v>161</v>
      </c>
      <c r="C431" s="31">
        <v>44165</v>
      </c>
      <c r="D431" s="15">
        <v>11.12</v>
      </c>
      <c r="E431" s="15">
        <v>0</v>
      </c>
      <c r="F431" s="53" t="s">
        <v>134</v>
      </c>
      <c r="G431" t="s">
        <v>429</v>
      </c>
      <c r="H431" s="41" t="s">
        <v>136</v>
      </c>
      <c r="I431" t="s">
        <v>430</v>
      </c>
      <c r="J431" t="s">
        <v>190</v>
      </c>
      <c r="K431" t="s">
        <v>139</v>
      </c>
      <c r="L431" s="17"/>
      <c r="M431" s="17"/>
      <c r="N431" s="17" t="s">
        <v>431</v>
      </c>
      <c r="O431" s="36"/>
      <c r="P431" s="17"/>
      <c r="Q431" s="17"/>
      <c r="U431" t="s">
        <v>432</v>
      </c>
      <c r="V431" t="s">
        <v>432</v>
      </c>
      <c r="X431" s="31">
        <v>44169</v>
      </c>
      <c r="Y431" s="31">
        <v>44171</v>
      </c>
      <c r="AA431" s="31"/>
      <c r="AB431" t="s">
        <v>9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1</v>
      </c>
      <c r="AI431">
        <v>50050</v>
      </c>
      <c r="AJ431">
        <v>2111</v>
      </c>
      <c r="AK431">
        <v>0</v>
      </c>
      <c r="AL431">
        <v>19</v>
      </c>
      <c r="AO431" s="41"/>
      <c r="AP431" s="41"/>
      <c r="AQ431" t="str">
        <f t="shared" si="12"/>
        <v/>
      </c>
      <c r="AS431" t="str">
        <f t="shared" si="13"/>
        <v>wci_corp</v>
      </c>
    </row>
    <row r="432" spans="2:45" x14ac:dyDescent="0.2">
      <c r="B432" t="s">
        <v>161</v>
      </c>
      <c r="C432" s="31">
        <v>44165</v>
      </c>
      <c r="D432" s="15">
        <v>63.79</v>
      </c>
      <c r="E432" s="15">
        <v>0</v>
      </c>
      <c r="F432" s="53" t="s">
        <v>134</v>
      </c>
      <c r="G432" t="s">
        <v>429</v>
      </c>
      <c r="H432" s="41" t="s">
        <v>136</v>
      </c>
      <c r="I432" t="s">
        <v>430</v>
      </c>
      <c r="J432" t="s">
        <v>190</v>
      </c>
      <c r="K432" t="s">
        <v>139</v>
      </c>
      <c r="L432" s="17"/>
      <c r="M432" s="17"/>
      <c r="N432" s="17" t="s">
        <v>431</v>
      </c>
      <c r="O432" s="36"/>
      <c r="P432" s="17"/>
      <c r="Q432" s="17"/>
      <c r="U432" t="s">
        <v>432</v>
      </c>
      <c r="V432" t="s">
        <v>432</v>
      </c>
      <c r="X432" s="31">
        <v>44169</v>
      </c>
      <c r="Y432" s="31">
        <v>44171</v>
      </c>
      <c r="AA432" s="31"/>
      <c r="AB432" t="s">
        <v>9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1</v>
      </c>
      <c r="AI432">
        <v>50050</v>
      </c>
      <c r="AJ432">
        <v>2111</v>
      </c>
      <c r="AK432">
        <v>0</v>
      </c>
      <c r="AL432">
        <v>19</v>
      </c>
      <c r="AO432" s="41"/>
      <c r="AP432" s="41"/>
      <c r="AQ432" t="str">
        <f t="shared" si="12"/>
        <v/>
      </c>
      <c r="AS432" t="str">
        <f t="shared" si="13"/>
        <v>wci_corp</v>
      </c>
    </row>
    <row r="433" spans="2:45" x14ac:dyDescent="0.2">
      <c r="B433" t="s">
        <v>161</v>
      </c>
      <c r="C433" s="31">
        <v>44165</v>
      </c>
      <c r="D433" s="15">
        <v>43.91</v>
      </c>
      <c r="E433" s="15">
        <v>0</v>
      </c>
      <c r="F433" s="53" t="s">
        <v>134</v>
      </c>
      <c r="G433" t="s">
        <v>429</v>
      </c>
      <c r="H433" s="41" t="s">
        <v>136</v>
      </c>
      <c r="I433" t="s">
        <v>430</v>
      </c>
      <c r="J433" t="s">
        <v>190</v>
      </c>
      <c r="K433" t="s">
        <v>139</v>
      </c>
      <c r="L433" s="17"/>
      <c r="M433" s="17"/>
      <c r="N433" s="17" t="s">
        <v>431</v>
      </c>
      <c r="O433" s="36"/>
      <c r="P433" s="17"/>
      <c r="Q433" s="17"/>
      <c r="U433" t="s">
        <v>432</v>
      </c>
      <c r="V433" t="s">
        <v>432</v>
      </c>
      <c r="X433" s="31">
        <v>44169</v>
      </c>
      <c r="Y433" s="31">
        <v>44171</v>
      </c>
      <c r="AA433" s="31"/>
      <c r="AB433" t="s">
        <v>9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1</v>
      </c>
      <c r="AI433">
        <v>50050</v>
      </c>
      <c r="AJ433">
        <v>2111</v>
      </c>
      <c r="AK433">
        <v>0</v>
      </c>
      <c r="AL433">
        <v>19</v>
      </c>
      <c r="AO433" s="41"/>
      <c r="AP433" s="41"/>
      <c r="AQ433" t="str">
        <f t="shared" si="12"/>
        <v/>
      </c>
      <c r="AS433" t="str">
        <f t="shared" si="13"/>
        <v>wci_corp</v>
      </c>
    </row>
    <row r="434" spans="2:45" x14ac:dyDescent="0.2">
      <c r="B434" t="s">
        <v>161</v>
      </c>
      <c r="C434" s="31">
        <v>44165</v>
      </c>
      <c r="D434" s="15">
        <v>12.32</v>
      </c>
      <c r="E434" s="15">
        <v>0</v>
      </c>
      <c r="F434" s="53" t="s">
        <v>134</v>
      </c>
      <c r="G434" t="s">
        <v>429</v>
      </c>
      <c r="H434" s="41" t="s">
        <v>136</v>
      </c>
      <c r="I434" t="s">
        <v>430</v>
      </c>
      <c r="J434" t="s">
        <v>190</v>
      </c>
      <c r="K434" t="s">
        <v>139</v>
      </c>
      <c r="L434" s="17"/>
      <c r="M434" s="17"/>
      <c r="N434" s="17" t="s">
        <v>431</v>
      </c>
      <c r="O434" s="36"/>
      <c r="P434" s="17"/>
      <c r="Q434" s="17"/>
      <c r="U434" t="s">
        <v>432</v>
      </c>
      <c r="V434" t="s">
        <v>432</v>
      </c>
      <c r="X434" s="31">
        <v>44169</v>
      </c>
      <c r="Y434" s="31">
        <v>44171</v>
      </c>
      <c r="AA434" s="31"/>
      <c r="AB434" t="s">
        <v>9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1</v>
      </c>
      <c r="AI434">
        <v>50050</v>
      </c>
      <c r="AJ434">
        <v>2111</v>
      </c>
      <c r="AK434">
        <v>0</v>
      </c>
      <c r="AL434">
        <v>19</v>
      </c>
      <c r="AO434" s="41"/>
      <c r="AP434" s="41"/>
      <c r="AQ434" t="str">
        <f t="shared" si="12"/>
        <v/>
      </c>
      <c r="AS434" t="str">
        <f t="shared" si="13"/>
        <v>wci_corp</v>
      </c>
    </row>
    <row r="435" spans="2:45" x14ac:dyDescent="0.2">
      <c r="B435" t="s">
        <v>161</v>
      </c>
      <c r="C435" s="31">
        <v>44165</v>
      </c>
      <c r="D435" s="15">
        <v>4.8</v>
      </c>
      <c r="E435" s="15">
        <v>0</v>
      </c>
      <c r="F435" s="53" t="s">
        <v>134</v>
      </c>
      <c r="G435" t="s">
        <v>429</v>
      </c>
      <c r="H435" s="41" t="s">
        <v>136</v>
      </c>
      <c r="I435" t="s">
        <v>430</v>
      </c>
      <c r="J435" t="s">
        <v>190</v>
      </c>
      <c r="K435" t="s">
        <v>139</v>
      </c>
      <c r="L435" s="17"/>
      <c r="M435" s="17"/>
      <c r="N435" s="17" t="s">
        <v>433</v>
      </c>
      <c r="O435" s="36"/>
      <c r="P435" s="17"/>
      <c r="Q435" s="17"/>
      <c r="U435" t="s">
        <v>432</v>
      </c>
      <c r="V435" t="s">
        <v>432</v>
      </c>
      <c r="X435" s="31">
        <v>44169</v>
      </c>
      <c r="Y435" s="31">
        <v>44171</v>
      </c>
      <c r="AA435" s="31"/>
      <c r="AB435" t="s">
        <v>9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1</v>
      </c>
      <c r="AI435">
        <v>50050</v>
      </c>
      <c r="AJ435">
        <v>2111</v>
      </c>
      <c r="AK435">
        <v>0</v>
      </c>
      <c r="AL435">
        <v>19</v>
      </c>
      <c r="AO435" s="41"/>
      <c r="AP435" s="41"/>
      <c r="AQ435" t="str">
        <f t="shared" si="12"/>
        <v/>
      </c>
      <c r="AS435" t="str">
        <f t="shared" si="13"/>
        <v>wci_corp</v>
      </c>
    </row>
    <row r="436" spans="2:45" x14ac:dyDescent="0.2">
      <c r="B436" t="s">
        <v>161</v>
      </c>
      <c r="C436" s="31">
        <v>44165</v>
      </c>
      <c r="D436" s="15">
        <v>21.56</v>
      </c>
      <c r="E436" s="15">
        <v>0</v>
      </c>
      <c r="F436" s="53" t="s">
        <v>134</v>
      </c>
      <c r="G436" t="s">
        <v>429</v>
      </c>
      <c r="H436" s="41" t="s">
        <v>136</v>
      </c>
      <c r="I436" t="s">
        <v>430</v>
      </c>
      <c r="J436" t="s">
        <v>190</v>
      </c>
      <c r="K436" t="s">
        <v>139</v>
      </c>
      <c r="L436" s="17"/>
      <c r="M436" s="17"/>
      <c r="N436" s="17" t="s">
        <v>434</v>
      </c>
      <c r="O436" s="36"/>
      <c r="P436" s="17"/>
      <c r="Q436" s="17"/>
      <c r="U436" t="s">
        <v>432</v>
      </c>
      <c r="V436" t="s">
        <v>432</v>
      </c>
      <c r="X436" s="31">
        <v>44169</v>
      </c>
      <c r="Y436" s="31">
        <v>44171</v>
      </c>
      <c r="AA436" s="31"/>
      <c r="AB436" t="s">
        <v>9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1</v>
      </c>
      <c r="AI436">
        <v>50050</v>
      </c>
      <c r="AJ436">
        <v>2111</v>
      </c>
      <c r="AK436">
        <v>0</v>
      </c>
      <c r="AL436">
        <v>19</v>
      </c>
      <c r="AO436" s="41"/>
      <c r="AP436" s="41"/>
      <c r="AQ436" t="str">
        <f t="shared" si="12"/>
        <v/>
      </c>
      <c r="AS436" t="str">
        <f t="shared" si="13"/>
        <v>wci_corp</v>
      </c>
    </row>
    <row r="437" spans="2:45" x14ac:dyDescent="0.2">
      <c r="B437" t="s">
        <v>161</v>
      </c>
      <c r="C437" s="31">
        <v>44165</v>
      </c>
      <c r="D437" s="15">
        <v>2.4</v>
      </c>
      <c r="E437" s="15">
        <v>0</v>
      </c>
      <c r="F437" s="53" t="s">
        <v>134</v>
      </c>
      <c r="G437" t="s">
        <v>429</v>
      </c>
      <c r="H437" s="41" t="s">
        <v>136</v>
      </c>
      <c r="I437" t="s">
        <v>430</v>
      </c>
      <c r="J437" t="s">
        <v>190</v>
      </c>
      <c r="K437" t="s">
        <v>139</v>
      </c>
      <c r="L437" s="17"/>
      <c r="M437" s="17"/>
      <c r="N437" s="17" t="s">
        <v>433</v>
      </c>
      <c r="O437" s="36"/>
      <c r="P437" s="17"/>
      <c r="Q437" s="17"/>
      <c r="U437" t="s">
        <v>432</v>
      </c>
      <c r="V437" t="s">
        <v>432</v>
      </c>
      <c r="X437" s="31">
        <v>44169</v>
      </c>
      <c r="Y437" s="31">
        <v>44171</v>
      </c>
      <c r="AA437" s="31"/>
      <c r="AB437" t="s">
        <v>9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1</v>
      </c>
      <c r="AI437">
        <v>50050</v>
      </c>
      <c r="AJ437">
        <v>2111</v>
      </c>
      <c r="AK437">
        <v>0</v>
      </c>
      <c r="AL437">
        <v>19</v>
      </c>
      <c r="AO437" s="41"/>
      <c r="AP437" s="41"/>
      <c r="AQ437" t="str">
        <f t="shared" si="12"/>
        <v/>
      </c>
      <c r="AS437" t="str">
        <f t="shared" si="13"/>
        <v>wci_corp</v>
      </c>
    </row>
    <row r="438" spans="2:45" x14ac:dyDescent="0.2">
      <c r="B438" t="s">
        <v>161</v>
      </c>
      <c r="C438" s="31">
        <v>44165</v>
      </c>
      <c r="D438" s="15">
        <v>5.88</v>
      </c>
      <c r="E438" s="15">
        <v>0</v>
      </c>
      <c r="F438" s="53" t="s">
        <v>134</v>
      </c>
      <c r="G438" t="s">
        <v>429</v>
      </c>
      <c r="H438" s="41" t="s">
        <v>136</v>
      </c>
      <c r="I438" t="s">
        <v>430</v>
      </c>
      <c r="J438" t="s">
        <v>190</v>
      </c>
      <c r="K438" t="s">
        <v>139</v>
      </c>
      <c r="L438" s="17"/>
      <c r="M438" s="17"/>
      <c r="N438" s="17" t="s">
        <v>434</v>
      </c>
      <c r="O438" s="36"/>
      <c r="P438" s="17"/>
      <c r="Q438" s="17"/>
      <c r="U438" t="s">
        <v>432</v>
      </c>
      <c r="V438" t="s">
        <v>432</v>
      </c>
      <c r="X438" s="31">
        <v>44169</v>
      </c>
      <c r="Y438" s="31">
        <v>44171</v>
      </c>
      <c r="AA438" s="31"/>
      <c r="AB438" t="s">
        <v>9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1</v>
      </c>
      <c r="AI438">
        <v>50050</v>
      </c>
      <c r="AJ438">
        <v>2111</v>
      </c>
      <c r="AK438">
        <v>0</v>
      </c>
      <c r="AL438">
        <v>19</v>
      </c>
      <c r="AO438" s="41"/>
      <c r="AP438" s="41"/>
      <c r="AQ438" t="str">
        <f t="shared" si="12"/>
        <v/>
      </c>
      <c r="AS438" t="str">
        <f t="shared" si="13"/>
        <v>wci_corp</v>
      </c>
    </row>
    <row r="439" spans="2:45" x14ac:dyDescent="0.2">
      <c r="B439" t="s">
        <v>161</v>
      </c>
      <c r="C439" s="31">
        <v>44165</v>
      </c>
      <c r="D439" s="15">
        <v>5.27</v>
      </c>
      <c r="E439" s="15">
        <v>0</v>
      </c>
      <c r="F439" s="53" t="s">
        <v>134</v>
      </c>
      <c r="G439" t="s">
        <v>429</v>
      </c>
      <c r="H439" s="41" t="s">
        <v>136</v>
      </c>
      <c r="I439" t="s">
        <v>430</v>
      </c>
      <c r="J439" t="s">
        <v>190</v>
      </c>
      <c r="K439" t="s">
        <v>139</v>
      </c>
      <c r="L439" s="17"/>
      <c r="M439" s="17"/>
      <c r="N439" s="17" t="s">
        <v>431</v>
      </c>
      <c r="O439" s="36"/>
      <c r="P439" s="17"/>
      <c r="Q439" s="17"/>
      <c r="U439" t="s">
        <v>432</v>
      </c>
      <c r="V439" t="s">
        <v>432</v>
      </c>
      <c r="X439" s="31">
        <v>44169</v>
      </c>
      <c r="Y439" s="31">
        <v>44171</v>
      </c>
      <c r="AA439" s="31"/>
      <c r="AB439" t="s">
        <v>9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1</v>
      </c>
      <c r="AI439">
        <v>50050</v>
      </c>
      <c r="AJ439">
        <v>2111</v>
      </c>
      <c r="AK439">
        <v>0</v>
      </c>
      <c r="AL439">
        <v>19</v>
      </c>
      <c r="AO439" s="41"/>
      <c r="AP439" s="41"/>
      <c r="AQ439" t="str">
        <f t="shared" si="12"/>
        <v/>
      </c>
      <c r="AS439" t="str">
        <f t="shared" si="13"/>
        <v>wci_corp</v>
      </c>
    </row>
    <row r="440" spans="2:45" x14ac:dyDescent="0.2">
      <c r="B440" t="s">
        <v>161</v>
      </c>
      <c r="C440" s="31">
        <v>44165</v>
      </c>
      <c r="D440" s="15">
        <v>37.24</v>
      </c>
      <c r="E440" s="15">
        <v>0</v>
      </c>
      <c r="F440" s="53" t="s">
        <v>134</v>
      </c>
      <c r="G440" t="s">
        <v>429</v>
      </c>
      <c r="H440" s="41" t="s">
        <v>136</v>
      </c>
      <c r="I440" t="s">
        <v>430</v>
      </c>
      <c r="J440" t="s">
        <v>190</v>
      </c>
      <c r="K440" t="s">
        <v>139</v>
      </c>
      <c r="L440" s="17"/>
      <c r="M440" s="17"/>
      <c r="N440" s="17" t="s">
        <v>434</v>
      </c>
      <c r="O440" s="36"/>
      <c r="P440" s="17"/>
      <c r="Q440" s="17"/>
      <c r="U440" t="s">
        <v>432</v>
      </c>
      <c r="V440" t="s">
        <v>432</v>
      </c>
      <c r="X440" s="31">
        <v>44169</v>
      </c>
      <c r="Y440" s="31">
        <v>44171</v>
      </c>
      <c r="AA440" s="31"/>
      <c r="AB440" t="s">
        <v>9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1</v>
      </c>
      <c r="AI440">
        <v>50050</v>
      </c>
      <c r="AJ440">
        <v>2111</v>
      </c>
      <c r="AK440">
        <v>0</v>
      </c>
      <c r="AL440">
        <v>19</v>
      </c>
      <c r="AO440" s="41"/>
      <c r="AP440" s="41"/>
      <c r="AQ440" t="str">
        <f t="shared" si="12"/>
        <v/>
      </c>
      <c r="AS440" t="str">
        <f t="shared" si="13"/>
        <v>wci_corp</v>
      </c>
    </row>
    <row r="441" spans="2:45" x14ac:dyDescent="0.2">
      <c r="B441" t="s">
        <v>161</v>
      </c>
      <c r="C441" s="31">
        <v>44165</v>
      </c>
      <c r="D441" s="15">
        <v>12</v>
      </c>
      <c r="E441" s="15">
        <v>0</v>
      </c>
      <c r="F441" s="53" t="s">
        <v>134</v>
      </c>
      <c r="G441" t="s">
        <v>429</v>
      </c>
      <c r="H441" s="41" t="s">
        <v>136</v>
      </c>
      <c r="I441" t="s">
        <v>430</v>
      </c>
      <c r="J441" t="s">
        <v>190</v>
      </c>
      <c r="K441" t="s">
        <v>139</v>
      </c>
      <c r="L441" s="17"/>
      <c r="M441" s="17"/>
      <c r="N441" s="17" t="s">
        <v>433</v>
      </c>
      <c r="O441" s="36"/>
      <c r="P441" s="17"/>
      <c r="Q441" s="17"/>
      <c r="U441" t="s">
        <v>432</v>
      </c>
      <c r="V441" t="s">
        <v>432</v>
      </c>
      <c r="X441" s="31">
        <v>44169</v>
      </c>
      <c r="Y441" s="31">
        <v>44171</v>
      </c>
      <c r="AA441" s="31"/>
      <c r="AB441" t="s">
        <v>9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1</v>
      </c>
      <c r="AI441">
        <v>50050</v>
      </c>
      <c r="AJ441">
        <v>2111</v>
      </c>
      <c r="AK441">
        <v>0</v>
      </c>
      <c r="AL441">
        <v>19</v>
      </c>
      <c r="AO441" s="41"/>
      <c r="AP441" s="41"/>
      <c r="AQ441" t="str">
        <f t="shared" si="12"/>
        <v/>
      </c>
      <c r="AS441" t="str">
        <f t="shared" si="13"/>
        <v>wci_corp</v>
      </c>
    </row>
    <row r="442" spans="2:45" x14ac:dyDescent="0.2">
      <c r="B442" t="s">
        <v>161</v>
      </c>
      <c r="C442" s="31">
        <v>44165</v>
      </c>
      <c r="D442" s="15">
        <v>18.72</v>
      </c>
      <c r="E442" s="15">
        <v>0</v>
      </c>
      <c r="F442" s="53" t="s">
        <v>134</v>
      </c>
      <c r="G442" t="s">
        <v>429</v>
      </c>
      <c r="H442" s="41" t="s">
        <v>136</v>
      </c>
      <c r="I442" t="s">
        <v>430</v>
      </c>
      <c r="J442" t="s">
        <v>190</v>
      </c>
      <c r="K442" t="s">
        <v>139</v>
      </c>
      <c r="L442" s="17"/>
      <c r="M442" s="17"/>
      <c r="N442" s="17" t="s">
        <v>431</v>
      </c>
      <c r="O442" s="36"/>
      <c r="P442" s="17"/>
      <c r="Q442" s="17"/>
      <c r="U442" t="s">
        <v>432</v>
      </c>
      <c r="V442" t="s">
        <v>432</v>
      </c>
      <c r="X442" s="31">
        <v>44169</v>
      </c>
      <c r="Y442" s="31">
        <v>44171</v>
      </c>
      <c r="AA442" s="31"/>
      <c r="AB442" t="s">
        <v>9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1</v>
      </c>
      <c r="AI442">
        <v>50050</v>
      </c>
      <c r="AJ442">
        <v>2111</v>
      </c>
      <c r="AK442">
        <v>0</v>
      </c>
      <c r="AL442">
        <v>19</v>
      </c>
      <c r="AO442" s="41"/>
      <c r="AP442" s="41"/>
      <c r="AQ442" t="str">
        <f t="shared" si="12"/>
        <v/>
      </c>
      <c r="AS442" t="str">
        <f t="shared" si="13"/>
        <v>wci_corp</v>
      </c>
    </row>
    <row r="443" spans="2:45" x14ac:dyDescent="0.2">
      <c r="B443" t="s">
        <v>161</v>
      </c>
      <c r="C443" s="31">
        <v>44165</v>
      </c>
      <c r="D443" s="15">
        <v>2.4</v>
      </c>
      <c r="E443" s="15">
        <v>0</v>
      </c>
      <c r="F443" s="53" t="s">
        <v>134</v>
      </c>
      <c r="G443" t="s">
        <v>429</v>
      </c>
      <c r="H443" s="41" t="s">
        <v>136</v>
      </c>
      <c r="I443" t="s">
        <v>430</v>
      </c>
      <c r="J443" t="s">
        <v>190</v>
      </c>
      <c r="K443" t="s">
        <v>139</v>
      </c>
      <c r="L443" s="17"/>
      <c r="M443" s="17"/>
      <c r="N443" s="17" t="s">
        <v>433</v>
      </c>
      <c r="O443" s="36"/>
      <c r="P443" s="17"/>
      <c r="Q443" s="17"/>
      <c r="U443" t="s">
        <v>432</v>
      </c>
      <c r="V443" t="s">
        <v>432</v>
      </c>
      <c r="X443" s="31">
        <v>44169</v>
      </c>
      <c r="Y443" s="31">
        <v>44171</v>
      </c>
      <c r="AA443" s="31"/>
      <c r="AB443" t="s">
        <v>9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1</v>
      </c>
      <c r="AI443">
        <v>50050</v>
      </c>
      <c r="AJ443">
        <v>2111</v>
      </c>
      <c r="AK443">
        <v>0</v>
      </c>
      <c r="AL443">
        <v>19</v>
      </c>
      <c r="AO443" s="41"/>
      <c r="AP443" s="41"/>
      <c r="AQ443" t="str">
        <f t="shared" si="12"/>
        <v/>
      </c>
      <c r="AS443" t="str">
        <f t="shared" si="13"/>
        <v>wci_corp</v>
      </c>
    </row>
    <row r="444" spans="2:45" x14ac:dyDescent="0.2">
      <c r="B444" t="s">
        <v>161</v>
      </c>
      <c r="C444" s="31">
        <v>44165</v>
      </c>
      <c r="D444" s="15">
        <v>5.88</v>
      </c>
      <c r="E444" s="15">
        <v>0</v>
      </c>
      <c r="F444" s="53" t="s">
        <v>134</v>
      </c>
      <c r="G444" t="s">
        <v>429</v>
      </c>
      <c r="H444" s="41" t="s">
        <v>136</v>
      </c>
      <c r="I444" t="s">
        <v>430</v>
      </c>
      <c r="J444" t="s">
        <v>190</v>
      </c>
      <c r="K444" t="s">
        <v>139</v>
      </c>
      <c r="L444" s="17"/>
      <c r="M444" s="17"/>
      <c r="N444" s="17" t="s">
        <v>434</v>
      </c>
      <c r="O444" s="36"/>
      <c r="P444" s="17"/>
      <c r="Q444" s="17"/>
      <c r="U444" t="s">
        <v>432</v>
      </c>
      <c r="V444" t="s">
        <v>432</v>
      </c>
      <c r="X444" s="31">
        <v>44169</v>
      </c>
      <c r="Y444" s="31">
        <v>44171</v>
      </c>
      <c r="AA444" s="31"/>
      <c r="AB444" t="s">
        <v>9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1</v>
      </c>
      <c r="AI444">
        <v>50050</v>
      </c>
      <c r="AJ444">
        <v>2111</v>
      </c>
      <c r="AK444">
        <v>0</v>
      </c>
      <c r="AL444">
        <v>19</v>
      </c>
      <c r="AO444" s="41"/>
      <c r="AP444" s="41"/>
      <c r="AQ444" t="str">
        <f t="shared" si="12"/>
        <v/>
      </c>
      <c r="AS444" t="str">
        <f t="shared" si="13"/>
        <v>wci_corp</v>
      </c>
    </row>
    <row r="445" spans="2:45" x14ac:dyDescent="0.2">
      <c r="B445" t="s">
        <v>161</v>
      </c>
      <c r="C445" s="31">
        <v>44165</v>
      </c>
      <c r="D445" s="15">
        <v>2.4</v>
      </c>
      <c r="E445" s="15">
        <v>0</v>
      </c>
      <c r="F445" s="53" t="s">
        <v>134</v>
      </c>
      <c r="G445" t="s">
        <v>429</v>
      </c>
      <c r="H445" s="41" t="s">
        <v>136</v>
      </c>
      <c r="I445" t="s">
        <v>430</v>
      </c>
      <c r="J445" t="s">
        <v>190</v>
      </c>
      <c r="K445" t="s">
        <v>139</v>
      </c>
      <c r="L445" s="17"/>
      <c r="M445" s="17"/>
      <c r="N445" s="17" t="s">
        <v>433</v>
      </c>
      <c r="O445" s="36"/>
      <c r="P445" s="17"/>
      <c r="Q445" s="17"/>
      <c r="U445" t="s">
        <v>432</v>
      </c>
      <c r="V445" t="s">
        <v>432</v>
      </c>
      <c r="X445" s="31">
        <v>44169</v>
      </c>
      <c r="Y445" s="31">
        <v>44171</v>
      </c>
      <c r="AA445" s="31"/>
      <c r="AB445" t="s">
        <v>9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1</v>
      </c>
      <c r="AI445">
        <v>50050</v>
      </c>
      <c r="AJ445">
        <v>2111</v>
      </c>
      <c r="AK445">
        <v>0</v>
      </c>
      <c r="AL445">
        <v>19</v>
      </c>
      <c r="AO445" s="41"/>
      <c r="AP445" s="41"/>
      <c r="AQ445" t="str">
        <f t="shared" si="12"/>
        <v/>
      </c>
      <c r="AS445" t="str">
        <f t="shared" si="13"/>
        <v>wci_corp</v>
      </c>
    </row>
    <row r="446" spans="2:45" x14ac:dyDescent="0.2">
      <c r="B446" t="s">
        <v>161</v>
      </c>
      <c r="C446" s="31">
        <v>44165</v>
      </c>
      <c r="D446" s="15">
        <v>1.17</v>
      </c>
      <c r="E446" s="15">
        <v>0</v>
      </c>
      <c r="F446" s="53" t="s">
        <v>134</v>
      </c>
      <c r="G446" t="s">
        <v>429</v>
      </c>
      <c r="H446" s="41" t="s">
        <v>136</v>
      </c>
      <c r="I446" t="s">
        <v>430</v>
      </c>
      <c r="J446" t="s">
        <v>190</v>
      </c>
      <c r="K446" t="s">
        <v>139</v>
      </c>
      <c r="L446" s="17"/>
      <c r="M446" s="17"/>
      <c r="N446" s="17" t="s">
        <v>431</v>
      </c>
      <c r="O446" s="36"/>
      <c r="P446" s="17"/>
      <c r="Q446" s="17"/>
      <c r="U446" t="s">
        <v>432</v>
      </c>
      <c r="V446" t="s">
        <v>432</v>
      </c>
      <c r="X446" s="31">
        <v>44169</v>
      </c>
      <c r="Y446" s="31">
        <v>44171</v>
      </c>
      <c r="AA446" s="31"/>
      <c r="AB446" t="s">
        <v>9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1</v>
      </c>
      <c r="AI446">
        <v>50050</v>
      </c>
      <c r="AJ446">
        <v>2111</v>
      </c>
      <c r="AK446">
        <v>0</v>
      </c>
      <c r="AL446">
        <v>19</v>
      </c>
      <c r="AO446" s="41"/>
      <c r="AP446" s="41"/>
      <c r="AQ446" t="str">
        <f t="shared" si="12"/>
        <v/>
      </c>
      <c r="AS446" t="str">
        <f t="shared" si="13"/>
        <v>wci_corp</v>
      </c>
    </row>
    <row r="447" spans="2:45" x14ac:dyDescent="0.2">
      <c r="B447" t="s">
        <v>161</v>
      </c>
      <c r="C447" s="31">
        <v>44165</v>
      </c>
      <c r="D447" s="15">
        <v>17.64</v>
      </c>
      <c r="E447" s="15">
        <v>0</v>
      </c>
      <c r="F447" s="53" t="s">
        <v>134</v>
      </c>
      <c r="G447" t="s">
        <v>429</v>
      </c>
      <c r="H447" s="41" t="s">
        <v>136</v>
      </c>
      <c r="I447" t="s">
        <v>430</v>
      </c>
      <c r="J447" t="s">
        <v>190</v>
      </c>
      <c r="K447" t="s">
        <v>139</v>
      </c>
      <c r="L447" s="17"/>
      <c r="M447" s="17"/>
      <c r="N447" s="17" t="s">
        <v>434</v>
      </c>
      <c r="O447" s="36"/>
      <c r="P447" s="17"/>
      <c r="Q447" s="17"/>
      <c r="U447" t="s">
        <v>432</v>
      </c>
      <c r="V447" t="s">
        <v>432</v>
      </c>
      <c r="X447" s="31">
        <v>44169</v>
      </c>
      <c r="Y447" s="31">
        <v>44171</v>
      </c>
      <c r="AA447" s="31"/>
      <c r="AB447" t="s">
        <v>9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1</v>
      </c>
      <c r="AI447">
        <v>50050</v>
      </c>
      <c r="AJ447">
        <v>2111</v>
      </c>
      <c r="AK447">
        <v>0</v>
      </c>
      <c r="AL447">
        <v>19</v>
      </c>
      <c r="AO447" s="41"/>
      <c r="AP447" s="41"/>
      <c r="AQ447" t="str">
        <f t="shared" si="12"/>
        <v/>
      </c>
      <c r="AS447" t="str">
        <f t="shared" si="13"/>
        <v>wci_corp</v>
      </c>
    </row>
    <row r="448" spans="2:45" x14ac:dyDescent="0.2">
      <c r="B448" t="s">
        <v>163</v>
      </c>
      <c r="C448" s="31">
        <v>44165</v>
      </c>
      <c r="D448" s="15">
        <v>10.94</v>
      </c>
      <c r="E448" s="15">
        <v>0</v>
      </c>
      <c r="F448" s="53" t="s">
        <v>134</v>
      </c>
      <c r="G448" t="s">
        <v>429</v>
      </c>
      <c r="H448" s="41" t="s">
        <v>136</v>
      </c>
      <c r="I448" t="s">
        <v>430</v>
      </c>
      <c r="J448" t="s">
        <v>190</v>
      </c>
      <c r="K448" t="s">
        <v>139</v>
      </c>
      <c r="L448" s="17"/>
      <c r="M448" s="17"/>
      <c r="N448" s="17" t="s">
        <v>434</v>
      </c>
      <c r="O448" s="36"/>
      <c r="P448" s="17"/>
      <c r="Q448" s="17"/>
      <c r="U448" t="s">
        <v>432</v>
      </c>
      <c r="V448" t="s">
        <v>432</v>
      </c>
      <c r="X448" s="31">
        <v>44169</v>
      </c>
      <c r="Y448" s="31">
        <v>44171</v>
      </c>
      <c r="AA448" s="31"/>
      <c r="AB448" t="s">
        <v>9</v>
      </c>
      <c r="AC448">
        <v>0</v>
      </c>
      <c r="AD448">
        <v>0</v>
      </c>
      <c r="AE448">
        <v>0</v>
      </c>
      <c r="AF448">
        <v>0</v>
      </c>
      <c r="AG448">
        <v>0</v>
      </c>
      <c r="AH448">
        <v>1</v>
      </c>
      <c r="AI448">
        <v>52050</v>
      </c>
      <c r="AJ448">
        <v>2111</v>
      </c>
      <c r="AK448">
        <v>0</v>
      </c>
      <c r="AL448">
        <v>19</v>
      </c>
      <c r="AO448" s="41"/>
      <c r="AP448" s="41"/>
      <c r="AQ448" t="str">
        <f t="shared" si="12"/>
        <v/>
      </c>
      <c r="AS448" t="str">
        <f t="shared" si="13"/>
        <v>wci_corp</v>
      </c>
    </row>
    <row r="449" spans="2:45" x14ac:dyDescent="0.2">
      <c r="B449" t="s">
        <v>163</v>
      </c>
      <c r="C449" s="31">
        <v>44165</v>
      </c>
      <c r="D449" s="15">
        <v>24.58</v>
      </c>
      <c r="E449" s="15">
        <v>0</v>
      </c>
      <c r="F449" s="53" t="s">
        <v>134</v>
      </c>
      <c r="G449" t="s">
        <v>429</v>
      </c>
      <c r="H449" s="41" t="s">
        <v>136</v>
      </c>
      <c r="I449" t="s">
        <v>430</v>
      </c>
      <c r="J449" t="s">
        <v>190</v>
      </c>
      <c r="K449" t="s">
        <v>139</v>
      </c>
      <c r="L449" s="17"/>
      <c r="M449" s="17"/>
      <c r="N449" s="17" t="s">
        <v>431</v>
      </c>
      <c r="O449" s="36"/>
      <c r="P449" s="17"/>
      <c r="Q449" s="17"/>
      <c r="U449" t="s">
        <v>432</v>
      </c>
      <c r="V449" t="s">
        <v>432</v>
      </c>
      <c r="X449" s="31">
        <v>44169</v>
      </c>
      <c r="Y449" s="31">
        <v>44171</v>
      </c>
      <c r="AA449" s="31"/>
      <c r="AB449" t="s">
        <v>9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1</v>
      </c>
      <c r="AI449">
        <v>52050</v>
      </c>
      <c r="AJ449">
        <v>2111</v>
      </c>
      <c r="AK449">
        <v>0</v>
      </c>
      <c r="AL449">
        <v>19</v>
      </c>
      <c r="AO449" s="41"/>
      <c r="AP449" s="41"/>
      <c r="AQ449" t="str">
        <f t="shared" si="12"/>
        <v/>
      </c>
      <c r="AS449" t="str">
        <f t="shared" si="13"/>
        <v>wci_corp</v>
      </c>
    </row>
    <row r="450" spans="2:45" x14ac:dyDescent="0.2">
      <c r="B450" t="s">
        <v>163</v>
      </c>
      <c r="C450" s="31">
        <v>44165</v>
      </c>
      <c r="D450" s="15">
        <v>2.4</v>
      </c>
      <c r="E450" s="15">
        <v>0</v>
      </c>
      <c r="F450" s="53" t="s">
        <v>134</v>
      </c>
      <c r="G450" t="s">
        <v>429</v>
      </c>
      <c r="H450" s="41" t="s">
        <v>136</v>
      </c>
      <c r="I450" t="s">
        <v>430</v>
      </c>
      <c r="J450" t="s">
        <v>190</v>
      </c>
      <c r="K450" t="s">
        <v>139</v>
      </c>
      <c r="L450" s="17"/>
      <c r="M450" s="17"/>
      <c r="N450" s="17" t="s">
        <v>433</v>
      </c>
      <c r="O450" s="36"/>
      <c r="P450" s="17"/>
      <c r="Q450" s="17"/>
      <c r="U450" t="s">
        <v>432</v>
      </c>
      <c r="V450" t="s">
        <v>432</v>
      </c>
      <c r="X450" s="31">
        <v>44169</v>
      </c>
      <c r="Y450" s="31">
        <v>44171</v>
      </c>
      <c r="AA450" s="31"/>
      <c r="AB450" t="s">
        <v>9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1</v>
      </c>
      <c r="AI450">
        <v>52050</v>
      </c>
      <c r="AJ450">
        <v>2111</v>
      </c>
      <c r="AK450">
        <v>0</v>
      </c>
      <c r="AL450">
        <v>19</v>
      </c>
      <c r="AO450" s="41"/>
      <c r="AP450" s="41"/>
      <c r="AQ450" t="str">
        <f t="shared" si="12"/>
        <v/>
      </c>
      <c r="AS450" t="str">
        <f t="shared" si="13"/>
        <v>wci_corp</v>
      </c>
    </row>
    <row r="451" spans="2:45" x14ac:dyDescent="0.2">
      <c r="B451" t="s">
        <v>165</v>
      </c>
      <c r="C451" s="31">
        <v>44165</v>
      </c>
      <c r="D451" s="15">
        <v>7.61</v>
      </c>
      <c r="E451" s="15">
        <v>0</v>
      </c>
      <c r="F451" s="53" t="s">
        <v>134</v>
      </c>
      <c r="G451" t="s">
        <v>429</v>
      </c>
      <c r="H451" s="41" t="s">
        <v>136</v>
      </c>
      <c r="I451" t="s">
        <v>430</v>
      </c>
      <c r="J451" t="s">
        <v>190</v>
      </c>
      <c r="K451" t="s">
        <v>139</v>
      </c>
      <c r="L451" s="17"/>
      <c r="M451" s="17"/>
      <c r="N451" s="17" t="s">
        <v>431</v>
      </c>
      <c r="O451" s="36"/>
      <c r="P451" s="17"/>
      <c r="Q451" s="17"/>
      <c r="U451" t="s">
        <v>432</v>
      </c>
      <c r="V451" t="s">
        <v>432</v>
      </c>
      <c r="X451" s="31">
        <v>44169</v>
      </c>
      <c r="Y451" s="31">
        <v>44171</v>
      </c>
      <c r="AA451" s="31"/>
      <c r="AB451" t="s">
        <v>9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1</v>
      </c>
      <c r="AI451">
        <v>55050</v>
      </c>
      <c r="AJ451">
        <v>2111</v>
      </c>
      <c r="AK451">
        <v>0</v>
      </c>
      <c r="AL451">
        <v>19</v>
      </c>
      <c r="AO451" s="41"/>
      <c r="AP451" s="41"/>
      <c r="AQ451" t="str">
        <f t="shared" si="12"/>
        <v/>
      </c>
      <c r="AS451" t="str">
        <f t="shared" si="13"/>
        <v>wci_corp</v>
      </c>
    </row>
    <row r="452" spans="2:45" x14ac:dyDescent="0.2">
      <c r="B452" t="s">
        <v>165</v>
      </c>
      <c r="C452" s="31">
        <v>44165</v>
      </c>
      <c r="D452" s="15">
        <v>2.4</v>
      </c>
      <c r="E452" s="15">
        <v>0</v>
      </c>
      <c r="F452" s="53" t="s">
        <v>134</v>
      </c>
      <c r="G452" t="s">
        <v>429</v>
      </c>
      <c r="H452" s="41" t="s">
        <v>136</v>
      </c>
      <c r="I452" t="s">
        <v>430</v>
      </c>
      <c r="J452" t="s">
        <v>190</v>
      </c>
      <c r="K452" t="s">
        <v>139</v>
      </c>
      <c r="L452" s="17"/>
      <c r="M452" s="17"/>
      <c r="N452" s="17" t="s">
        <v>433</v>
      </c>
      <c r="O452" s="36"/>
      <c r="P452" s="17"/>
      <c r="Q452" s="17"/>
      <c r="U452" t="s">
        <v>432</v>
      </c>
      <c r="V452" t="s">
        <v>432</v>
      </c>
      <c r="X452" s="31">
        <v>44169</v>
      </c>
      <c r="Y452" s="31">
        <v>44171</v>
      </c>
      <c r="AA452" s="31"/>
      <c r="AB452" t="s">
        <v>9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1</v>
      </c>
      <c r="AI452">
        <v>55050</v>
      </c>
      <c r="AJ452">
        <v>2111</v>
      </c>
      <c r="AK452">
        <v>0</v>
      </c>
      <c r="AL452">
        <v>19</v>
      </c>
      <c r="AO452" s="41"/>
      <c r="AP452" s="41"/>
      <c r="AQ452" t="str">
        <f t="shared" si="12"/>
        <v/>
      </c>
      <c r="AS452" t="str">
        <f t="shared" si="13"/>
        <v>wci_corp</v>
      </c>
    </row>
    <row r="453" spans="2:45" x14ac:dyDescent="0.2">
      <c r="B453" t="s">
        <v>165</v>
      </c>
      <c r="C453" s="31">
        <v>44165</v>
      </c>
      <c r="D453" s="15">
        <v>5.88</v>
      </c>
      <c r="E453" s="15">
        <v>0</v>
      </c>
      <c r="F453" s="53" t="s">
        <v>134</v>
      </c>
      <c r="G453" t="s">
        <v>429</v>
      </c>
      <c r="H453" s="41" t="s">
        <v>136</v>
      </c>
      <c r="I453" t="s">
        <v>430</v>
      </c>
      <c r="J453" t="s">
        <v>190</v>
      </c>
      <c r="K453" t="s">
        <v>139</v>
      </c>
      <c r="L453" s="17"/>
      <c r="M453" s="17"/>
      <c r="N453" s="17" t="s">
        <v>434</v>
      </c>
      <c r="O453" s="36"/>
      <c r="P453" s="17"/>
      <c r="Q453" s="17"/>
      <c r="U453" t="s">
        <v>432</v>
      </c>
      <c r="V453" t="s">
        <v>432</v>
      </c>
      <c r="X453" s="31">
        <v>44169</v>
      </c>
      <c r="Y453" s="31">
        <v>44171</v>
      </c>
      <c r="AA453" s="31"/>
      <c r="AB453" t="s">
        <v>9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1</v>
      </c>
      <c r="AI453">
        <v>55050</v>
      </c>
      <c r="AJ453">
        <v>2111</v>
      </c>
      <c r="AK453">
        <v>0</v>
      </c>
      <c r="AL453">
        <v>19</v>
      </c>
      <c r="AO453" s="41"/>
      <c r="AP453" s="41"/>
      <c r="AQ453" t="str">
        <f t="shared" si="12"/>
        <v/>
      </c>
      <c r="AS453" t="str">
        <f t="shared" si="13"/>
        <v>wci_corp</v>
      </c>
    </row>
    <row r="454" spans="2:45" x14ac:dyDescent="0.2">
      <c r="B454" t="s">
        <v>167</v>
      </c>
      <c r="C454" s="31">
        <v>44165</v>
      </c>
      <c r="D454" s="15">
        <v>1.17</v>
      </c>
      <c r="E454" s="15">
        <v>0</v>
      </c>
      <c r="F454" s="53" t="s">
        <v>134</v>
      </c>
      <c r="G454" t="s">
        <v>429</v>
      </c>
      <c r="H454" s="41" t="s">
        <v>136</v>
      </c>
      <c r="I454" t="s">
        <v>430</v>
      </c>
      <c r="J454" t="s">
        <v>190</v>
      </c>
      <c r="K454" t="s">
        <v>139</v>
      </c>
      <c r="L454" s="17"/>
      <c r="M454" s="17"/>
      <c r="N454" s="17" t="s">
        <v>431</v>
      </c>
      <c r="O454" s="36"/>
      <c r="P454" s="17"/>
      <c r="Q454" s="17"/>
      <c r="U454" t="s">
        <v>432</v>
      </c>
      <c r="V454" t="s">
        <v>432</v>
      </c>
      <c r="X454" s="31">
        <v>44169</v>
      </c>
      <c r="Y454" s="31">
        <v>44171</v>
      </c>
      <c r="AA454" s="31"/>
      <c r="AB454" t="s">
        <v>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1</v>
      </c>
      <c r="AI454">
        <v>56050</v>
      </c>
      <c r="AJ454">
        <v>2111</v>
      </c>
      <c r="AK454">
        <v>0</v>
      </c>
      <c r="AL454">
        <v>19</v>
      </c>
      <c r="AO454" s="41"/>
      <c r="AP454" s="41"/>
      <c r="AQ454" t="str">
        <f t="shared" si="12"/>
        <v/>
      </c>
      <c r="AS454" t="str">
        <f t="shared" si="13"/>
        <v>wci_corp</v>
      </c>
    </row>
    <row r="455" spans="2:45" x14ac:dyDescent="0.2">
      <c r="B455" t="s">
        <v>167</v>
      </c>
      <c r="C455" s="31">
        <v>44165</v>
      </c>
      <c r="D455" s="15">
        <v>1.17</v>
      </c>
      <c r="E455" s="15">
        <v>0</v>
      </c>
      <c r="F455" s="53" t="s">
        <v>134</v>
      </c>
      <c r="G455" t="s">
        <v>429</v>
      </c>
      <c r="H455" s="41" t="s">
        <v>136</v>
      </c>
      <c r="I455" t="s">
        <v>430</v>
      </c>
      <c r="J455" t="s">
        <v>190</v>
      </c>
      <c r="K455" t="s">
        <v>139</v>
      </c>
      <c r="L455" s="17"/>
      <c r="M455" s="17"/>
      <c r="N455" s="17" t="s">
        <v>431</v>
      </c>
      <c r="O455" s="36"/>
      <c r="P455" s="17"/>
      <c r="Q455" s="17"/>
      <c r="U455" t="s">
        <v>432</v>
      </c>
      <c r="V455" t="s">
        <v>432</v>
      </c>
      <c r="X455" s="31">
        <v>44169</v>
      </c>
      <c r="Y455" s="31">
        <v>44171</v>
      </c>
      <c r="AA455" s="31"/>
      <c r="AB455" t="s">
        <v>9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1</v>
      </c>
      <c r="AI455">
        <v>56050</v>
      </c>
      <c r="AJ455">
        <v>2111</v>
      </c>
      <c r="AK455">
        <v>0</v>
      </c>
      <c r="AL455">
        <v>19</v>
      </c>
      <c r="AO455" s="41"/>
      <c r="AP455" s="41"/>
      <c r="AQ455" t="str">
        <f t="shared" si="12"/>
        <v/>
      </c>
      <c r="AS455" t="str">
        <f t="shared" si="13"/>
        <v>wci_corp</v>
      </c>
    </row>
    <row r="456" spans="2:45" x14ac:dyDescent="0.2">
      <c r="B456" t="s">
        <v>169</v>
      </c>
      <c r="C456" s="31">
        <v>44165</v>
      </c>
      <c r="D456" s="15">
        <v>84.28</v>
      </c>
      <c r="E456" s="15">
        <v>0</v>
      </c>
      <c r="F456" s="53" t="s">
        <v>134</v>
      </c>
      <c r="G456" t="s">
        <v>429</v>
      </c>
      <c r="H456" s="41" t="s">
        <v>136</v>
      </c>
      <c r="I456" t="s">
        <v>430</v>
      </c>
      <c r="J456" t="s">
        <v>190</v>
      </c>
      <c r="K456" t="s">
        <v>139</v>
      </c>
      <c r="L456" s="17"/>
      <c r="M456" s="17"/>
      <c r="N456" s="17" t="s">
        <v>434</v>
      </c>
      <c r="O456" s="36"/>
      <c r="P456" s="17"/>
      <c r="Q456" s="17"/>
      <c r="U456" t="s">
        <v>432</v>
      </c>
      <c r="V456" t="s">
        <v>432</v>
      </c>
      <c r="X456" s="31">
        <v>44169</v>
      </c>
      <c r="Y456" s="31">
        <v>44171</v>
      </c>
      <c r="AA456" s="31"/>
      <c r="AB456" t="s">
        <v>9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1</v>
      </c>
      <c r="AI456">
        <v>70050</v>
      </c>
      <c r="AJ456">
        <v>2111</v>
      </c>
      <c r="AK456">
        <v>0</v>
      </c>
      <c r="AL456">
        <v>19</v>
      </c>
      <c r="AO456" s="41"/>
      <c r="AP456" s="41"/>
      <c r="AQ456" t="str">
        <f t="shared" si="12"/>
        <v/>
      </c>
      <c r="AS456" t="str">
        <f t="shared" si="13"/>
        <v>wci_corp</v>
      </c>
    </row>
    <row r="457" spans="2:45" x14ac:dyDescent="0.2">
      <c r="B457" t="s">
        <v>169</v>
      </c>
      <c r="C457" s="31">
        <v>44165</v>
      </c>
      <c r="D457" s="15">
        <v>26.35</v>
      </c>
      <c r="E457" s="15">
        <v>0</v>
      </c>
      <c r="F457" s="53" t="s">
        <v>134</v>
      </c>
      <c r="G457" t="s">
        <v>429</v>
      </c>
      <c r="H457" s="41" t="s">
        <v>136</v>
      </c>
      <c r="I457" t="s">
        <v>430</v>
      </c>
      <c r="J457" t="s">
        <v>190</v>
      </c>
      <c r="K457" t="s">
        <v>139</v>
      </c>
      <c r="L457" s="17"/>
      <c r="M457" s="17"/>
      <c r="N457" s="17" t="s">
        <v>431</v>
      </c>
      <c r="O457" s="36"/>
      <c r="P457" s="17"/>
      <c r="Q457" s="17"/>
      <c r="U457" t="s">
        <v>432</v>
      </c>
      <c r="V457" t="s">
        <v>432</v>
      </c>
      <c r="X457" s="31">
        <v>44169</v>
      </c>
      <c r="Y457" s="31">
        <v>44171</v>
      </c>
      <c r="AA457" s="31"/>
      <c r="AB457" t="s">
        <v>9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1</v>
      </c>
      <c r="AI457">
        <v>70050</v>
      </c>
      <c r="AJ457">
        <v>2111</v>
      </c>
      <c r="AK457">
        <v>0</v>
      </c>
      <c r="AL457">
        <v>19</v>
      </c>
      <c r="AO457" s="41"/>
      <c r="AP457" s="41"/>
      <c r="AQ457" t="str">
        <f t="shared" si="12"/>
        <v/>
      </c>
      <c r="AS457" t="str">
        <f t="shared" si="13"/>
        <v>wci_corp</v>
      </c>
    </row>
    <row r="458" spans="2:45" x14ac:dyDescent="0.2">
      <c r="B458" t="s">
        <v>169</v>
      </c>
      <c r="C458" s="31">
        <v>44165</v>
      </c>
      <c r="D458" s="15">
        <v>7.2</v>
      </c>
      <c r="E458" s="15">
        <v>0</v>
      </c>
      <c r="F458" s="53" t="s">
        <v>134</v>
      </c>
      <c r="G458" t="s">
        <v>429</v>
      </c>
      <c r="H458" s="41" t="s">
        <v>136</v>
      </c>
      <c r="I458" t="s">
        <v>430</v>
      </c>
      <c r="J458" t="s">
        <v>190</v>
      </c>
      <c r="K458" t="s">
        <v>139</v>
      </c>
      <c r="L458" s="17"/>
      <c r="M458" s="17"/>
      <c r="N458" s="17" t="s">
        <v>433</v>
      </c>
      <c r="O458" s="36"/>
      <c r="P458" s="17"/>
      <c r="Q458" s="17"/>
      <c r="U458" t="s">
        <v>432</v>
      </c>
      <c r="V458" t="s">
        <v>432</v>
      </c>
      <c r="X458" s="31">
        <v>44169</v>
      </c>
      <c r="Y458" s="31">
        <v>44171</v>
      </c>
      <c r="AA458" s="31"/>
      <c r="AB458" t="s">
        <v>9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1</v>
      </c>
      <c r="AI458">
        <v>70050</v>
      </c>
      <c r="AJ458">
        <v>2111</v>
      </c>
      <c r="AK458">
        <v>0</v>
      </c>
      <c r="AL458">
        <v>19</v>
      </c>
      <c r="AO458" s="41"/>
      <c r="AP458" s="41"/>
      <c r="AQ458" t="str">
        <f t="shared" si="12"/>
        <v/>
      </c>
      <c r="AS458" t="str">
        <f t="shared" si="13"/>
        <v>wci_corp</v>
      </c>
    </row>
    <row r="459" spans="2:45" x14ac:dyDescent="0.2">
      <c r="B459" t="s">
        <v>193</v>
      </c>
      <c r="C459" s="31">
        <v>44165</v>
      </c>
      <c r="D459" s="15">
        <v>-38400</v>
      </c>
      <c r="E459" s="15">
        <v>0</v>
      </c>
      <c r="F459" s="53" t="s">
        <v>134</v>
      </c>
      <c r="G459" t="s">
        <v>435</v>
      </c>
      <c r="H459" s="41" t="s">
        <v>136</v>
      </c>
      <c r="I459" t="s">
        <v>436</v>
      </c>
      <c r="J459" t="s">
        <v>173</v>
      </c>
      <c r="K459" t="s">
        <v>139</v>
      </c>
      <c r="L459" s="17"/>
      <c r="M459" s="17"/>
      <c r="N459" s="17" t="s">
        <v>436</v>
      </c>
      <c r="O459" s="36"/>
      <c r="P459" s="17"/>
      <c r="Q459" s="17"/>
      <c r="U459" t="s">
        <v>437</v>
      </c>
      <c r="V459" t="s">
        <v>437</v>
      </c>
      <c r="X459" s="31">
        <v>44172</v>
      </c>
      <c r="Y459" s="31">
        <v>44172</v>
      </c>
      <c r="AA459" s="31"/>
      <c r="AB459" t="s">
        <v>9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1</v>
      </c>
      <c r="AI459">
        <v>50036</v>
      </c>
      <c r="AJ459">
        <v>2111</v>
      </c>
      <c r="AK459">
        <v>100</v>
      </c>
      <c r="AL459">
        <v>19</v>
      </c>
      <c r="AO459" s="41"/>
      <c r="AP459" s="41"/>
      <c r="AQ459" t="str">
        <f t="shared" si="12"/>
        <v/>
      </c>
      <c r="AS459" t="str">
        <f t="shared" si="13"/>
        <v>wci_corp</v>
      </c>
    </row>
    <row r="460" spans="2:45" x14ac:dyDescent="0.2">
      <c r="B460" t="s">
        <v>168</v>
      </c>
      <c r="C460" s="31">
        <v>44165</v>
      </c>
      <c r="D460" s="15">
        <v>-3600</v>
      </c>
      <c r="E460" s="15">
        <v>0</v>
      </c>
      <c r="F460" s="53" t="s">
        <v>134</v>
      </c>
      <c r="G460" t="s">
        <v>435</v>
      </c>
      <c r="H460" s="41" t="s">
        <v>136</v>
      </c>
      <c r="I460" t="s">
        <v>436</v>
      </c>
      <c r="J460" t="s">
        <v>173</v>
      </c>
      <c r="K460" t="s">
        <v>139</v>
      </c>
      <c r="L460" s="17"/>
      <c r="M460" s="17"/>
      <c r="N460" s="17" t="s">
        <v>436</v>
      </c>
      <c r="O460" s="36"/>
      <c r="P460" s="17"/>
      <c r="Q460" s="17"/>
      <c r="U460" t="s">
        <v>437</v>
      </c>
      <c r="V460" t="s">
        <v>437</v>
      </c>
      <c r="X460" s="31">
        <v>44172</v>
      </c>
      <c r="Y460" s="31">
        <v>44172</v>
      </c>
      <c r="AA460" s="31"/>
      <c r="AB460" t="s">
        <v>9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1</v>
      </c>
      <c r="AI460">
        <v>70036</v>
      </c>
      <c r="AJ460">
        <v>2111</v>
      </c>
      <c r="AK460">
        <v>0</v>
      </c>
      <c r="AL460">
        <v>19</v>
      </c>
      <c r="AO460" s="41"/>
      <c r="AP460" s="41"/>
      <c r="AQ460" t="str">
        <f t="shared" si="12"/>
        <v/>
      </c>
      <c r="AS460" t="str">
        <f t="shared" si="13"/>
        <v>wci_corp</v>
      </c>
    </row>
    <row r="461" spans="2:45" x14ac:dyDescent="0.2">
      <c r="B461" t="s">
        <v>170</v>
      </c>
      <c r="C461" s="31">
        <v>44196</v>
      </c>
      <c r="D461" s="15">
        <v>169.34</v>
      </c>
      <c r="E461" s="15">
        <v>0</v>
      </c>
      <c r="F461" s="53" t="s">
        <v>134</v>
      </c>
      <c r="G461" t="s">
        <v>438</v>
      </c>
      <c r="H461" s="41" t="s">
        <v>136</v>
      </c>
      <c r="I461" t="s">
        <v>439</v>
      </c>
      <c r="J461" t="s">
        <v>173</v>
      </c>
      <c r="K461" t="s">
        <v>139</v>
      </c>
      <c r="L461" s="17"/>
      <c r="M461" s="17"/>
      <c r="N461" s="17" t="s">
        <v>440</v>
      </c>
      <c r="O461" s="36"/>
      <c r="P461" s="17"/>
      <c r="Q461" s="17"/>
      <c r="U461" t="s">
        <v>441</v>
      </c>
      <c r="V461" t="s">
        <v>441</v>
      </c>
      <c r="X461" s="31">
        <v>44201</v>
      </c>
      <c r="Y461" s="31">
        <v>44201</v>
      </c>
      <c r="AA461" s="31"/>
      <c r="AB461" t="s">
        <v>9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1</v>
      </c>
      <c r="AI461">
        <v>50086</v>
      </c>
      <c r="AJ461">
        <v>2111</v>
      </c>
      <c r="AK461">
        <v>0</v>
      </c>
      <c r="AL461">
        <v>19</v>
      </c>
      <c r="AO461" s="41"/>
      <c r="AP461" s="41"/>
      <c r="AQ461" t="str">
        <f t="shared" si="12"/>
        <v/>
      </c>
      <c r="AS461" t="str">
        <f t="shared" si="13"/>
        <v>wci_corp</v>
      </c>
    </row>
    <row r="462" spans="2:45" x14ac:dyDescent="0.2">
      <c r="B462" t="s">
        <v>170</v>
      </c>
      <c r="C462" s="31">
        <v>44196</v>
      </c>
      <c r="D462" s="15">
        <v>109.88</v>
      </c>
      <c r="E462" s="15">
        <v>0</v>
      </c>
      <c r="F462" s="53" t="s">
        <v>134</v>
      </c>
      <c r="G462" t="s">
        <v>438</v>
      </c>
      <c r="H462" s="41" t="s">
        <v>136</v>
      </c>
      <c r="I462" t="s">
        <v>439</v>
      </c>
      <c r="J462" t="s">
        <v>173</v>
      </c>
      <c r="K462" t="s">
        <v>139</v>
      </c>
      <c r="L462" s="17"/>
      <c r="M462" s="17"/>
      <c r="N462" s="17" t="s">
        <v>440</v>
      </c>
      <c r="O462" s="36"/>
      <c r="P462" s="17"/>
      <c r="Q462" s="17"/>
      <c r="U462" t="s">
        <v>441</v>
      </c>
      <c r="V462" t="s">
        <v>441</v>
      </c>
      <c r="X462" s="31">
        <v>44201</v>
      </c>
      <c r="Y462" s="31">
        <v>44201</v>
      </c>
      <c r="AA462" s="31"/>
      <c r="AB462" t="s">
        <v>9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1</v>
      </c>
      <c r="AI462">
        <v>50086</v>
      </c>
      <c r="AJ462">
        <v>2111</v>
      </c>
      <c r="AK462">
        <v>0</v>
      </c>
      <c r="AL462">
        <v>19</v>
      </c>
      <c r="AO462" s="41"/>
      <c r="AP462" s="41"/>
      <c r="AQ462" t="str">
        <f t="shared" si="12"/>
        <v/>
      </c>
      <c r="AS462" t="str">
        <f t="shared" si="13"/>
        <v>wci_corp</v>
      </c>
    </row>
    <row r="463" spans="2:45" x14ac:dyDescent="0.2">
      <c r="B463" t="s">
        <v>170</v>
      </c>
      <c r="C463" s="31">
        <v>44196</v>
      </c>
      <c r="D463" s="15">
        <v>558</v>
      </c>
      <c r="E463" s="15">
        <v>0</v>
      </c>
      <c r="F463" s="53" t="s">
        <v>134</v>
      </c>
      <c r="G463" t="s">
        <v>438</v>
      </c>
      <c r="H463" s="41" t="s">
        <v>136</v>
      </c>
      <c r="I463" t="s">
        <v>439</v>
      </c>
      <c r="J463" t="s">
        <v>173</v>
      </c>
      <c r="K463" t="s">
        <v>139</v>
      </c>
      <c r="L463" s="17"/>
      <c r="M463" s="17"/>
      <c r="N463" s="17" t="s">
        <v>442</v>
      </c>
      <c r="O463" s="36"/>
      <c r="P463" s="17"/>
      <c r="Q463" s="17"/>
      <c r="U463" t="s">
        <v>441</v>
      </c>
      <c r="V463" t="s">
        <v>441</v>
      </c>
      <c r="X463" s="31">
        <v>44201</v>
      </c>
      <c r="Y463" s="31">
        <v>44201</v>
      </c>
      <c r="AA463" s="31"/>
      <c r="AB463" t="s">
        <v>9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1</v>
      </c>
      <c r="AI463">
        <v>50086</v>
      </c>
      <c r="AJ463">
        <v>2111</v>
      </c>
      <c r="AK463">
        <v>0</v>
      </c>
      <c r="AL463">
        <v>19</v>
      </c>
      <c r="AO463" s="41"/>
      <c r="AP463" s="41"/>
      <c r="AQ463" t="str">
        <f t="shared" si="12"/>
        <v/>
      </c>
      <c r="AS463" t="str">
        <f t="shared" si="13"/>
        <v>wci_corp</v>
      </c>
    </row>
    <row r="464" spans="2:45" x14ac:dyDescent="0.2">
      <c r="B464" t="s">
        <v>234</v>
      </c>
      <c r="C464" s="31">
        <v>44196</v>
      </c>
      <c r="D464" s="15">
        <v>98.09</v>
      </c>
      <c r="E464" s="15">
        <v>0</v>
      </c>
      <c r="F464" s="53" t="s">
        <v>134</v>
      </c>
      <c r="G464" t="s">
        <v>438</v>
      </c>
      <c r="H464" s="41" t="s">
        <v>136</v>
      </c>
      <c r="I464" t="s">
        <v>439</v>
      </c>
      <c r="J464" t="s">
        <v>173</v>
      </c>
      <c r="K464" t="s">
        <v>139</v>
      </c>
      <c r="L464" s="17"/>
      <c r="M464" s="17"/>
      <c r="N464" s="17" t="s">
        <v>440</v>
      </c>
      <c r="O464" s="36"/>
      <c r="P464" s="17"/>
      <c r="Q464" s="17"/>
      <c r="U464" t="s">
        <v>441</v>
      </c>
      <c r="V464" t="s">
        <v>441</v>
      </c>
      <c r="X464" s="31">
        <v>44201</v>
      </c>
      <c r="Y464" s="31">
        <v>44201</v>
      </c>
      <c r="AA464" s="31"/>
      <c r="AB464" t="s">
        <v>9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1</v>
      </c>
      <c r="AI464">
        <v>52086</v>
      </c>
      <c r="AJ464">
        <v>2111</v>
      </c>
      <c r="AK464">
        <v>0</v>
      </c>
      <c r="AL464">
        <v>19</v>
      </c>
      <c r="AO464" s="41"/>
      <c r="AP464" s="41"/>
      <c r="AQ464" t="str">
        <f t="shared" si="12"/>
        <v/>
      </c>
      <c r="AS464" t="str">
        <f t="shared" si="13"/>
        <v>wci_corp</v>
      </c>
    </row>
    <row r="465" spans="2:45" x14ac:dyDescent="0.2">
      <c r="B465" t="s">
        <v>234</v>
      </c>
      <c r="C465" s="31">
        <v>44196</v>
      </c>
      <c r="D465" s="15">
        <v>356.73</v>
      </c>
      <c r="E465" s="15">
        <v>0</v>
      </c>
      <c r="F465" s="53" t="s">
        <v>134</v>
      </c>
      <c r="G465" t="s">
        <v>438</v>
      </c>
      <c r="H465" s="41" t="s">
        <v>136</v>
      </c>
      <c r="I465" t="s">
        <v>439</v>
      </c>
      <c r="J465" t="s">
        <v>173</v>
      </c>
      <c r="K465" t="s">
        <v>139</v>
      </c>
      <c r="L465" s="17"/>
      <c r="M465" s="17"/>
      <c r="N465" s="17" t="s">
        <v>440</v>
      </c>
      <c r="O465" s="36"/>
      <c r="P465" s="17"/>
      <c r="Q465" s="17"/>
      <c r="U465" t="s">
        <v>441</v>
      </c>
      <c r="V465" t="s">
        <v>441</v>
      </c>
      <c r="X465" s="31">
        <v>44201</v>
      </c>
      <c r="Y465" s="31">
        <v>44201</v>
      </c>
      <c r="AA465" s="31"/>
      <c r="AB465" t="s">
        <v>9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1</v>
      </c>
      <c r="AI465">
        <v>52086</v>
      </c>
      <c r="AJ465">
        <v>2111</v>
      </c>
      <c r="AK465">
        <v>0</v>
      </c>
      <c r="AL465">
        <v>19</v>
      </c>
      <c r="AO465" s="41"/>
      <c r="AP465" s="41"/>
      <c r="AQ465" t="str">
        <f t="shared" si="12"/>
        <v/>
      </c>
      <c r="AS465" t="str">
        <f t="shared" si="13"/>
        <v>wci_corp</v>
      </c>
    </row>
    <row r="466" spans="2:45" x14ac:dyDescent="0.2">
      <c r="B466" t="s">
        <v>234</v>
      </c>
      <c r="C466" s="31">
        <v>44196</v>
      </c>
      <c r="D466" s="15">
        <v>891.84</v>
      </c>
      <c r="E466" s="15">
        <v>0</v>
      </c>
      <c r="F466" s="53" t="s">
        <v>134</v>
      </c>
      <c r="G466" t="s">
        <v>438</v>
      </c>
      <c r="H466" s="41" t="s">
        <v>136</v>
      </c>
      <c r="I466" t="s">
        <v>439</v>
      </c>
      <c r="J466" t="s">
        <v>173</v>
      </c>
      <c r="K466" t="s">
        <v>139</v>
      </c>
      <c r="L466" s="17"/>
      <c r="M466" s="17"/>
      <c r="N466" s="17" t="s">
        <v>440</v>
      </c>
      <c r="O466" s="36"/>
      <c r="P466" s="17"/>
      <c r="Q466" s="17"/>
      <c r="U466" t="s">
        <v>441</v>
      </c>
      <c r="V466" t="s">
        <v>441</v>
      </c>
      <c r="X466" s="31">
        <v>44201</v>
      </c>
      <c r="Y466" s="31">
        <v>44201</v>
      </c>
      <c r="AA466" s="31"/>
      <c r="AB466" t="s">
        <v>9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1</v>
      </c>
      <c r="AI466">
        <v>52086</v>
      </c>
      <c r="AJ466">
        <v>2111</v>
      </c>
      <c r="AK466">
        <v>0</v>
      </c>
      <c r="AL466">
        <v>19</v>
      </c>
      <c r="AO466" s="41"/>
      <c r="AP466" s="41"/>
      <c r="AQ466" t="str">
        <f t="shared" si="12"/>
        <v/>
      </c>
      <c r="AS466" t="str">
        <f t="shared" si="13"/>
        <v>wci_corp</v>
      </c>
    </row>
    <row r="467" spans="2:45" x14ac:dyDescent="0.2">
      <c r="B467" t="s">
        <v>202</v>
      </c>
      <c r="C467" s="31">
        <v>44196</v>
      </c>
      <c r="D467" s="15">
        <v>1060</v>
      </c>
      <c r="E467" s="15">
        <v>0</v>
      </c>
      <c r="F467" s="53" t="s">
        <v>134</v>
      </c>
      <c r="G467" t="s">
        <v>443</v>
      </c>
      <c r="H467" s="41" t="s">
        <v>136</v>
      </c>
      <c r="I467" t="s">
        <v>444</v>
      </c>
      <c r="J467" t="s">
        <v>190</v>
      </c>
      <c r="K467" t="s">
        <v>139</v>
      </c>
      <c r="L467" s="17"/>
      <c r="M467" s="17"/>
      <c r="N467" s="17" t="s">
        <v>445</v>
      </c>
      <c r="O467" s="36"/>
      <c r="P467" s="17"/>
      <c r="Q467" s="17"/>
      <c r="U467" t="s">
        <v>446</v>
      </c>
      <c r="V467" t="s">
        <v>446</v>
      </c>
      <c r="X467" s="31">
        <v>44202</v>
      </c>
      <c r="Y467" s="31">
        <v>44202</v>
      </c>
      <c r="AA467" s="31"/>
      <c r="AB467" t="s">
        <v>9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1</v>
      </c>
      <c r="AI467">
        <v>50020</v>
      </c>
      <c r="AJ467">
        <v>2111</v>
      </c>
      <c r="AK467">
        <v>0</v>
      </c>
      <c r="AL467">
        <v>19</v>
      </c>
      <c r="AO467" s="41"/>
      <c r="AP467" s="41"/>
      <c r="AQ467" t="str">
        <f t="shared" si="12"/>
        <v/>
      </c>
      <c r="AS467" t="str">
        <f t="shared" si="13"/>
        <v>wci_corp</v>
      </c>
    </row>
    <row r="468" spans="2:45" x14ac:dyDescent="0.2">
      <c r="B468" t="s">
        <v>202</v>
      </c>
      <c r="C468" s="31">
        <v>44196</v>
      </c>
      <c r="D468" s="15">
        <v>1064.6400000000001</v>
      </c>
      <c r="E468" s="15">
        <v>0</v>
      </c>
      <c r="F468" s="53" t="s">
        <v>134</v>
      </c>
      <c r="G468" t="s">
        <v>443</v>
      </c>
      <c r="H468" s="41" t="s">
        <v>136</v>
      </c>
      <c r="I468" t="s">
        <v>444</v>
      </c>
      <c r="J468" t="s">
        <v>190</v>
      </c>
      <c r="K468" t="s">
        <v>139</v>
      </c>
      <c r="L468" s="17"/>
      <c r="M468" s="17"/>
      <c r="N468" s="17" t="s">
        <v>445</v>
      </c>
      <c r="O468" s="36"/>
      <c r="P468" s="17"/>
      <c r="Q468" s="17"/>
      <c r="U468" t="s">
        <v>446</v>
      </c>
      <c r="V468" t="s">
        <v>446</v>
      </c>
      <c r="X468" s="31">
        <v>44202</v>
      </c>
      <c r="Y468" s="31">
        <v>44202</v>
      </c>
      <c r="AA468" s="31"/>
      <c r="AB468" t="s">
        <v>9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1</v>
      </c>
      <c r="AI468">
        <v>50020</v>
      </c>
      <c r="AJ468">
        <v>2111</v>
      </c>
      <c r="AK468">
        <v>0</v>
      </c>
      <c r="AL468">
        <v>19</v>
      </c>
      <c r="AO468" s="41"/>
      <c r="AP468" s="41"/>
      <c r="AQ468" t="str">
        <f t="shared" si="12"/>
        <v/>
      </c>
      <c r="AS468" t="str">
        <f t="shared" si="13"/>
        <v>wci_corp</v>
      </c>
    </row>
    <row r="469" spans="2:45" x14ac:dyDescent="0.2">
      <c r="B469" t="s">
        <v>202</v>
      </c>
      <c r="C469" s="31">
        <v>44196</v>
      </c>
      <c r="D469" s="15">
        <v>1449.6</v>
      </c>
      <c r="E469" s="15">
        <v>0</v>
      </c>
      <c r="F469" s="53" t="s">
        <v>134</v>
      </c>
      <c r="G469" t="s">
        <v>443</v>
      </c>
      <c r="H469" s="41" t="s">
        <v>136</v>
      </c>
      <c r="I469" t="s">
        <v>444</v>
      </c>
      <c r="J469" t="s">
        <v>190</v>
      </c>
      <c r="K469" t="s">
        <v>139</v>
      </c>
      <c r="L469" s="17"/>
      <c r="M469" s="17"/>
      <c r="N469" s="17" t="s">
        <v>445</v>
      </c>
      <c r="O469" s="36"/>
      <c r="P469" s="17"/>
      <c r="Q469" s="17"/>
      <c r="U469" t="s">
        <v>446</v>
      </c>
      <c r="V469" t="s">
        <v>446</v>
      </c>
      <c r="X469" s="31">
        <v>44202</v>
      </c>
      <c r="Y469" s="31">
        <v>44202</v>
      </c>
      <c r="AA469" s="31"/>
      <c r="AB469" t="s">
        <v>9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1</v>
      </c>
      <c r="AI469">
        <v>50020</v>
      </c>
      <c r="AJ469">
        <v>2111</v>
      </c>
      <c r="AK469">
        <v>0</v>
      </c>
      <c r="AL469">
        <v>19</v>
      </c>
      <c r="AO469" s="41"/>
      <c r="AP469" s="41"/>
      <c r="AQ469" t="str">
        <f t="shared" ref="AQ469:AQ532" si="14">IF(LEFT(U469,2)="VO",U469,"")</f>
        <v/>
      </c>
      <c r="AS469" t="str">
        <f t="shared" ref="AS469:AS532" si="15">IF(RIGHT(K469,2)="IC",IF(OR(AB469="wci_canada",AB469="wci_can_corp"),"wci_can_Corp","wci_corp"),AB469)</f>
        <v>wci_corp</v>
      </c>
    </row>
    <row r="470" spans="2:45" x14ac:dyDescent="0.2">
      <c r="B470" t="s">
        <v>202</v>
      </c>
      <c r="C470" s="31">
        <v>44196</v>
      </c>
      <c r="D470" s="15">
        <v>979.84</v>
      </c>
      <c r="E470" s="15">
        <v>0</v>
      </c>
      <c r="F470" s="53" t="s">
        <v>134</v>
      </c>
      <c r="G470" t="s">
        <v>443</v>
      </c>
      <c r="H470" s="41" t="s">
        <v>136</v>
      </c>
      <c r="I470" t="s">
        <v>444</v>
      </c>
      <c r="J470" t="s">
        <v>190</v>
      </c>
      <c r="K470" t="s">
        <v>139</v>
      </c>
      <c r="L470" s="17"/>
      <c r="M470" s="17"/>
      <c r="N470" s="17" t="s">
        <v>445</v>
      </c>
      <c r="O470" s="36"/>
      <c r="P470" s="17"/>
      <c r="Q470" s="17"/>
      <c r="U470" t="s">
        <v>446</v>
      </c>
      <c r="V470" t="s">
        <v>446</v>
      </c>
      <c r="X470" s="31">
        <v>44202</v>
      </c>
      <c r="Y470" s="31">
        <v>44202</v>
      </c>
      <c r="AA470" s="31"/>
      <c r="AB470" t="s">
        <v>9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1</v>
      </c>
      <c r="AI470">
        <v>50020</v>
      </c>
      <c r="AJ470">
        <v>2111</v>
      </c>
      <c r="AK470">
        <v>0</v>
      </c>
      <c r="AL470">
        <v>19</v>
      </c>
      <c r="AO470" s="41"/>
      <c r="AP470" s="41"/>
      <c r="AQ470" t="str">
        <f t="shared" si="14"/>
        <v/>
      </c>
      <c r="AS470" t="str">
        <f t="shared" si="15"/>
        <v>wci_corp</v>
      </c>
    </row>
    <row r="471" spans="2:45" x14ac:dyDescent="0.2">
      <c r="B471" t="s">
        <v>202</v>
      </c>
      <c r="C471" s="31">
        <v>44196</v>
      </c>
      <c r="D471" s="15">
        <v>720</v>
      </c>
      <c r="E471" s="15">
        <v>0</v>
      </c>
      <c r="F471" s="53" t="s">
        <v>134</v>
      </c>
      <c r="G471" t="s">
        <v>443</v>
      </c>
      <c r="H471" s="41" t="s">
        <v>136</v>
      </c>
      <c r="I471" t="s">
        <v>444</v>
      </c>
      <c r="J471" t="s">
        <v>190</v>
      </c>
      <c r="K471" t="s">
        <v>139</v>
      </c>
      <c r="L471" s="17"/>
      <c r="M471" s="17"/>
      <c r="N471" s="17" t="s">
        <v>445</v>
      </c>
      <c r="O471" s="36"/>
      <c r="P471" s="17"/>
      <c r="Q471" s="17"/>
      <c r="U471" t="s">
        <v>446</v>
      </c>
      <c r="V471" t="s">
        <v>446</v>
      </c>
      <c r="X471" s="31">
        <v>44202</v>
      </c>
      <c r="Y471" s="31">
        <v>44202</v>
      </c>
      <c r="AA471" s="31"/>
      <c r="AB471" t="s">
        <v>9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1</v>
      </c>
      <c r="AI471">
        <v>50020</v>
      </c>
      <c r="AJ471">
        <v>2111</v>
      </c>
      <c r="AK471">
        <v>0</v>
      </c>
      <c r="AL471">
        <v>19</v>
      </c>
      <c r="AO471" s="41"/>
      <c r="AP471" s="41"/>
      <c r="AQ471" t="str">
        <f t="shared" si="14"/>
        <v/>
      </c>
      <c r="AS471" t="str">
        <f t="shared" si="15"/>
        <v>wci_corp</v>
      </c>
    </row>
    <row r="472" spans="2:45" x14ac:dyDescent="0.2">
      <c r="B472" t="s">
        <v>207</v>
      </c>
      <c r="C472" s="31">
        <v>44196</v>
      </c>
      <c r="D472" s="15">
        <v>2632.72</v>
      </c>
      <c r="E472" s="15">
        <v>0</v>
      </c>
      <c r="F472" s="53" t="s">
        <v>134</v>
      </c>
      <c r="G472" t="s">
        <v>443</v>
      </c>
      <c r="H472" s="41" t="s">
        <v>136</v>
      </c>
      <c r="I472" t="s">
        <v>444</v>
      </c>
      <c r="J472" t="s">
        <v>190</v>
      </c>
      <c r="K472" t="s">
        <v>139</v>
      </c>
      <c r="L472" s="17"/>
      <c r="M472" s="17"/>
      <c r="N472" s="17" t="s">
        <v>445</v>
      </c>
      <c r="O472" s="36"/>
      <c r="P472" s="17"/>
      <c r="Q472" s="17"/>
      <c r="U472" t="s">
        <v>446</v>
      </c>
      <c r="V472" t="s">
        <v>446</v>
      </c>
      <c r="X472" s="31">
        <v>44202</v>
      </c>
      <c r="Y472" s="31">
        <v>44202</v>
      </c>
      <c r="AA472" s="31"/>
      <c r="AB472" t="s">
        <v>9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1</v>
      </c>
      <c r="AI472">
        <v>52020</v>
      </c>
      <c r="AJ472">
        <v>2111</v>
      </c>
      <c r="AK472">
        <v>0</v>
      </c>
      <c r="AL472">
        <v>19</v>
      </c>
      <c r="AO472" s="41"/>
      <c r="AP472" s="41"/>
      <c r="AQ472" t="str">
        <f t="shared" si="14"/>
        <v/>
      </c>
      <c r="AS472" t="str">
        <f t="shared" si="15"/>
        <v>wci_corp</v>
      </c>
    </row>
    <row r="473" spans="2:45" x14ac:dyDescent="0.2">
      <c r="B473" t="s">
        <v>142</v>
      </c>
      <c r="C473" s="31">
        <v>44196</v>
      </c>
      <c r="D473" s="15">
        <v>725</v>
      </c>
      <c r="E473" s="15">
        <v>0</v>
      </c>
      <c r="F473" s="53" t="s">
        <v>134</v>
      </c>
      <c r="G473" t="s">
        <v>443</v>
      </c>
      <c r="H473" s="41" t="s">
        <v>136</v>
      </c>
      <c r="I473" t="s">
        <v>444</v>
      </c>
      <c r="J473" t="s">
        <v>190</v>
      </c>
      <c r="K473" t="s">
        <v>139</v>
      </c>
      <c r="L473" s="17"/>
      <c r="M473" s="17"/>
      <c r="N473" s="17" t="s">
        <v>447</v>
      </c>
      <c r="O473" s="36"/>
      <c r="P473" s="17"/>
      <c r="Q473" s="17"/>
      <c r="U473" t="s">
        <v>446</v>
      </c>
      <c r="V473" t="s">
        <v>446</v>
      </c>
      <c r="X473" s="31">
        <v>44202</v>
      </c>
      <c r="Y473" s="31">
        <v>44202</v>
      </c>
      <c r="AA473" s="31"/>
      <c r="AB473" t="s">
        <v>9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1</v>
      </c>
      <c r="AI473">
        <v>70165</v>
      </c>
      <c r="AJ473">
        <v>2111</v>
      </c>
      <c r="AK473">
        <v>0</v>
      </c>
      <c r="AL473">
        <v>19</v>
      </c>
      <c r="AO473" s="41"/>
      <c r="AP473" s="41"/>
      <c r="AQ473" t="str">
        <f t="shared" si="14"/>
        <v/>
      </c>
      <c r="AS473" t="str">
        <f t="shared" si="15"/>
        <v>wci_corp</v>
      </c>
    </row>
    <row r="474" spans="2:45" x14ac:dyDescent="0.2">
      <c r="B474" t="s">
        <v>142</v>
      </c>
      <c r="C474" s="31">
        <v>44196</v>
      </c>
      <c r="D474" s="15">
        <v>25</v>
      </c>
      <c r="E474" s="15">
        <v>0</v>
      </c>
      <c r="F474" s="53" t="s">
        <v>134</v>
      </c>
      <c r="G474" t="s">
        <v>443</v>
      </c>
      <c r="H474" s="41" t="s">
        <v>136</v>
      </c>
      <c r="I474" t="s">
        <v>444</v>
      </c>
      <c r="J474" t="s">
        <v>190</v>
      </c>
      <c r="K474" t="s">
        <v>139</v>
      </c>
      <c r="L474" s="17"/>
      <c r="M474" s="17"/>
      <c r="N474" s="17" t="s">
        <v>447</v>
      </c>
      <c r="O474" s="36"/>
      <c r="P474" s="17"/>
      <c r="Q474" s="17"/>
      <c r="U474" t="s">
        <v>446</v>
      </c>
      <c r="V474" t="s">
        <v>446</v>
      </c>
      <c r="X474" s="31">
        <v>44202</v>
      </c>
      <c r="Y474" s="31">
        <v>44202</v>
      </c>
      <c r="AA474" s="31"/>
      <c r="AB474" t="s">
        <v>9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1</v>
      </c>
      <c r="AI474">
        <v>70165</v>
      </c>
      <c r="AJ474">
        <v>2111</v>
      </c>
      <c r="AK474">
        <v>0</v>
      </c>
      <c r="AL474">
        <v>19</v>
      </c>
      <c r="AO474" s="41"/>
      <c r="AP474" s="41"/>
      <c r="AQ474" t="str">
        <f t="shared" si="14"/>
        <v/>
      </c>
      <c r="AS474" t="str">
        <f t="shared" si="15"/>
        <v>wci_corp</v>
      </c>
    </row>
    <row r="475" spans="2:45" x14ac:dyDescent="0.2">
      <c r="B475" t="s">
        <v>142</v>
      </c>
      <c r="C475" s="31">
        <v>44196</v>
      </c>
      <c r="D475" s="15">
        <v>25</v>
      </c>
      <c r="E475" s="15">
        <v>0</v>
      </c>
      <c r="F475" s="53" t="s">
        <v>134</v>
      </c>
      <c r="G475" t="s">
        <v>443</v>
      </c>
      <c r="H475" s="41" t="s">
        <v>136</v>
      </c>
      <c r="I475" t="s">
        <v>444</v>
      </c>
      <c r="J475" t="s">
        <v>190</v>
      </c>
      <c r="K475" t="s">
        <v>139</v>
      </c>
      <c r="L475" s="17"/>
      <c r="M475" s="17"/>
      <c r="N475" s="17" t="s">
        <v>447</v>
      </c>
      <c r="O475" s="36"/>
      <c r="P475" s="17"/>
      <c r="Q475" s="17"/>
      <c r="U475" t="s">
        <v>446</v>
      </c>
      <c r="V475" t="s">
        <v>446</v>
      </c>
      <c r="X475" s="31">
        <v>44202</v>
      </c>
      <c r="Y475" s="31">
        <v>44202</v>
      </c>
      <c r="AA475" s="31"/>
      <c r="AB475" t="s">
        <v>9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1</v>
      </c>
      <c r="AI475">
        <v>70165</v>
      </c>
      <c r="AJ475">
        <v>2111</v>
      </c>
      <c r="AK475">
        <v>0</v>
      </c>
      <c r="AL475">
        <v>19</v>
      </c>
      <c r="AO475" s="41"/>
      <c r="AP475" s="41"/>
      <c r="AQ475" t="str">
        <f t="shared" si="14"/>
        <v/>
      </c>
      <c r="AS475" t="str">
        <f t="shared" si="15"/>
        <v>wci_corp</v>
      </c>
    </row>
    <row r="476" spans="2:45" x14ac:dyDescent="0.2">
      <c r="B476" t="s">
        <v>202</v>
      </c>
      <c r="C476" s="31">
        <v>44196</v>
      </c>
      <c r="D476" s="15">
        <v>1060</v>
      </c>
      <c r="E476" s="15">
        <v>0</v>
      </c>
      <c r="F476" s="53" t="s">
        <v>134</v>
      </c>
      <c r="G476" t="s">
        <v>448</v>
      </c>
      <c r="H476" s="41" t="s">
        <v>136</v>
      </c>
      <c r="I476" t="s">
        <v>449</v>
      </c>
      <c r="J476" t="s">
        <v>190</v>
      </c>
      <c r="K476" t="s">
        <v>139</v>
      </c>
      <c r="L476" s="17"/>
      <c r="M476" s="17"/>
      <c r="N476" s="17" t="s">
        <v>450</v>
      </c>
      <c r="O476" s="36"/>
      <c r="P476" s="17"/>
      <c r="Q476" s="17"/>
      <c r="U476" t="s">
        <v>451</v>
      </c>
      <c r="V476" t="s">
        <v>451</v>
      </c>
      <c r="X476" s="31">
        <v>44202</v>
      </c>
      <c r="Y476" s="31">
        <v>44202</v>
      </c>
      <c r="AA476" s="31"/>
      <c r="AB476" t="s">
        <v>9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1</v>
      </c>
      <c r="AI476">
        <v>50020</v>
      </c>
      <c r="AJ476">
        <v>2111</v>
      </c>
      <c r="AK476">
        <v>0</v>
      </c>
      <c r="AL476">
        <v>19</v>
      </c>
      <c r="AO476" s="41"/>
      <c r="AP476" s="41"/>
      <c r="AQ476" t="str">
        <f t="shared" si="14"/>
        <v/>
      </c>
      <c r="AS476" t="str">
        <f t="shared" si="15"/>
        <v>wci_corp</v>
      </c>
    </row>
    <row r="477" spans="2:45" x14ac:dyDescent="0.2">
      <c r="B477" t="s">
        <v>202</v>
      </c>
      <c r="C477" s="31">
        <v>44196</v>
      </c>
      <c r="D477" s="15">
        <v>1224.8</v>
      </c>
      <c r="E477" s="15">
        <v>0</v>
      </c>
      <c r="F477" s="53" t="s">
        <v>134</v>
      </c>
      <c r="G477" t="s">
        <v>448</v>
      </c>
      <c r="H477" s="41" t="s">
        <v>136</v>
      </c>
      <c r="I477" t="s">
        <v>449</v>
      </c>
      <c r="J477" t="s">
        <v>190</v>
      </c>
      <c r="K477" t="s">
        <v>139</v>
      </c>
      <c r="L477" s="17"/>
      <c r="M477" s="17"/>
      <c r="N477" s="17" t="s">
        <v>450</v>
      </c>
      <c r="O477" s="36"/>
      <c r="P477" s="17"/>
      <c r="Q477" s="17"/>
      <c r="U477" t="s">
        <v>451</v>
      </c>
      <c r="V477" t="s">
        <v>451</v>
      </c>
      <c r="X477" s="31">
        <v>44202</v>
      </c>
      <c r="Y477" s="31">
        <v>44202</v>
      </c>
      <c r="AA477" s="31"/>
      <c r="AB477" t="s">
        <v>9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1</v>
      </c>
      <c r="AI477">
        <v>50020</v>
      </c>
      <c r="AJ477">
        <v>2111</v>
      </c>
      <c r="AK477">
        <v>0</v>
      </c>
      <c r="AL477">
        <v>19</v>
      </c>
      <c r="AO477" s="41"/>
      <c r="AP477" s="41"/>
      <c r="AQ477" t="str">
        <f t="shared" si="14"/>
        <v/>
      </c>
      <c r="AS477" t="str">
        <f t="shared" si="15"/>
        <v>wci_corp</v>
      </c>
    </row>
    <row r="478" spans="2:45" x14ac:dyDescent="0.2">
      <c r="B478" t="s">
        <v>202</v>
      </c>
      <c r="C478" s="31">
        <v>44196</v>
      </c>
      <c r="D478" s="15">
        <v>576</v>
      </c>
      <c r="E478" s="15">
        <v>0</v>
      </c>
      <c r="F478" s="53" t="s">
        <v>134</v>
      </c>
      <c r="G478" t="s">
        <v>448</v>
      </c>
      <c r="H478" s="41" t="s">
        <v>136</v>
      </c>
      <c r="I478" t="s">
        <v>449</v>
      </c>
      <c r="J478" t="s">
        <v>190</v>
      </c>
      <c r="K478" t="s">
        <v>139</v>
      </c>
      <c r="L478" s="17"/>
      <c r="M478" s="17"/>
      <c r="N478" s="17" t="s">
        <v>450</v>
      </c>
      <c r="O478" s="36"/>
      <c r="P478" s="17"/>
      <c r="Q478" s="17"/>
      <c r="U478" t="s">
        <v>451</v>
      </c>
      <c r="V478" t="s">
        <v>451</v>
      </c>
      <c r="X478" s="31">
        <v>44202</v>
      </c>
      <c r="Y478" s="31">
        <v>44202</v>
      </c>
      <c r="AA478" s="31"/>
      <c r="AB478" t="s">
        <v>9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1</v>
      </c>
      <c r="AI478">
        <v>50020</v>
      </c>
      <c r="AJ478">
        <v>2111</v>
      </c>
      <c r="AK478">
        <v>0</v>
      </c>
      <c r="AL478">
        <v>19</v>
      </c>
      <c r="AO478" s="41"/>
      <c r="AP478" s="41"/>
      <c r="AQ478" t="str">
        <f t="shared" si="14"/>
        <v/>
      </c>
      <c r="AS478" t="str">
        <f t="shared" si="15"/>
        <v>wci_corp</v>
      </c>
    </row>
    <row r="479" spans="2:45" x14ac:dyDescent="0.2">
      <c r="B479" t="s">
        <v>202</v>
      </c>
      <c r="C479" s="31">
        <v>44196</v>
      </c>
      <c r="D479" s="15">
        <v>1168</v>
      </c>
      <c r="E479" s="15">
        <v>0</v>
      </c>
      <c r="F479" s="53" t="s">
        <v>134</v>
      </c>
      <c r="G479" t="s">
        <v>448</v>
      </c>
      <c r="H479" s="41" t="s">
        <v>136</v>
      </c>
      <c r="I479" t="s">
        <v>449</v>
      </c>
      <c r="J479" t="s">
        <v>190</v>
      </c>
      <c r="K479" t="s">
        <v>139</v>
      </c>
      <c r="L479" s="17"/>
      <c r="M479" s="17"/>
      <c r="N479" s="17" t="s">
        <v>450</v>
      </c>
      <c r="O479" s="36"/>
      <c r="P479" s="17"/>
      <c r="Q479" s="17"/>
      <c r="U479" t="s">
        <v>451</v>
      </c>
      <c r="V479" t="s">
        <v>451</v>
      </c>
      <c r="X479" s="31">
        <v>44202</v>
      </c>
      <c r="Y479" s="31">
        <v>44202</v>
      </c>
      <c r="AA479" s="31"/>
      <c r="AB479" t="s">
        <v>9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1</v>
      </c>
      <c r="AI479">
        <v>50020</v>
      </c>
      <c r="AJ479">
        <v>2111</v>
      </c>
      <c r="AK479">
        <v>0</v>
      </c>
      <c r="AL479">
        <v>19</v>
      </c>
      <c r="AO479" s="41"/>
      <c r="AP479" s="41"/>
      <c r="AQ479" t="str">
        <f t="shared" si="14"/>
        <v/>
      </c>
      <c r="AS479" t="str">
        <f t="shared" si="15"/>
        <v>wci_corp</v>
      </c>
    </row>
    <row r="480" spans="2:45" x14ac:dyDescent="0.2">
      <c r="B480" t="s">
        <v>202</v>
      </c>
      <c r="C480" s="31">
        <v>44196</v>
      </c>
      <c r="D480" s="15">
        <v>1576</v>
      </c>
      <c r="E480" s="15">
        <v>0</v>
      </c>
      <c r="F480" s="53" t="s">
        <v>134</v>
      </c>
      <c r="G480" t="s">
        <v>448</v>
      </c>
      <c r="H480" s="41" t="s">
        <v>136</v>
      </c>
      <c r="I480" t="s">
        <v>449</v>
      </c>
      <c r="J480" t="s">
        <v>190</v>
      </c>
      <c r="K480" t="s">
        <v>139</v>
      </c>
      <c r="L480" s="17"/>
      <c r="M480" s="17"/>
      <c r="N480" s="17" t="s">
        <v>450</v>
      </c>
      <c r="O480" s="36"/>
      <c r="P480" s="17"/>
      <c r="Q480" s="17"/>
      <c r="U480" t="s">
        <v>451</v>
      </c>
      <c r="V480" t="s">
        <v>451</v>
      </c>
      <c r="X480" s="31">
        <v>44202</v>
      </c>
      <c r="Y480" s="31">
        <v>44202</v>
      </c>
      <c r="AA480" s="31"/>
      <c r="AB480" t="s">
        <v>9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1</v>
      </c>
      <c r="AI480">
        <v>50020</v>
      </c>
      <c r="AJ480">
        <v>2111</v>
      </c>
      <c r="AK480">
        <v>0</v>
      </c>
      <c r="AL480">
        <v>19</v>
      </c>
      <c r="AO480" s="41"/>
      <c r="AP480" s="41"/>
      <c r="AQ480" t="str">
        <f t="shared" si="14"/>
        <v/>
      </c>
      <c r="AS480" t="str">
        <f t="shared" si="15"/>
        <v>wci_corp</v>
      </c>
    </row>
    <row r="481" spans="2:45" x14ac:dyDescent="0.2">
      <c r="B481" t="s">
        <v>207</v>
      </c>
      <c r="C481" s="31">
        <v>44196</v>
      </c>
      <c r="D481" s="15">
        <v>841.6</v>
      </c>
      <c r="E481" s="15">
        <v>0</v>
      </c>
      <c r="F481" s="53" t="s">
        <v>134</v>
      </c>
      <c r="G481" t="s">
        <v>448</v>
      </c>
      <c r="H481" s="41" t="s">
        <v>136</v>
      </c>
      <c r="I481" t="s">
        <v>449</v>
      </c>
      <c r="J481" t="s">
        <v>190</v>
      </c>
      <c r="K481" t="s">
        <v>139</v>
      </c>
      <c r="L481" s="17"/>
      <c r="M481" s="17"/>
      <c r="N481" s="17" t="s">
        <v>450</v>
      </c>
      <c r="O481" s="36"/>
      <c r="P481" s="17"/>
      <c r="Q481" s="17"/>
      <c r="U481" t="s">
        <v>451</v>
      </c>
      <c r="V481" t="s">
        <v>451</v>
      </c>
      <c r="X481" s="31">
        <v>44202</v>
      </c>
      <c r="Y481" s="31">
        <v>44202</v>
      </c>
      <c r="AA481" s="31"/>
      <c r="AB481" t="s">
        <v>9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1</v>
      </c>
      <c r="AI481">
        <v>52020</v>
      </c>
      <c r="AJ481">
        <v>2111</v>
      </c>
      <c r="AK481">
        <v>0</v>
      </c>
      <c r="AL481">
        <v>19</v>
      </c>
      <c r="AO481" s="41"/>
      <c r="AP481" s="41"/>
      <c r="AQ481" t="str">
        <f t="shared" si="14"/>
        <v/>
      </c>
      <c r="AS481" t="str">
        <f t="shared" si="15"/>
        <v>wci_corp</v>
      </c>
    </row>
    <row r="482" spans="2:45" x14ac:dyDescent="0.2">
      <c r="B482" t="s">
        <v>142</v>
      </c>
      <c r="C482" s="31">
        <v>44196</v>
      </c>
      <c r="D482" s="15">
        <v>725</v>
      </c>
      <c r="E482" s="15">
        <v>0</v>
      </c>
      <c r="F482" s="53" t="s">
        <v>134</v>
      </c>
      <c r="G482" t="s">
        <v>448</v>
      </c>
      <c r="H482" s="41" t="s">
        <v>136</v>
      </c>
      <c r="I482" t="s">
        <v>449</v>
      </c>
      <c r="J482" t="s">
        <v>190</v>
      </c>
      <c r="K482" t="s">
        <v>139</v>
      </c>
      <c r="L482" s="17"/>
      <c r="M482" s="17"/>
      <c r="N482" s="17" t="s">
        <v>452</v>
      </c>
      <c r="O482" s="36"/>
      <c r="P482" s="17"/>
      <c r="Q482" s="17"/>
      <c r="U482" t="s">
        <v>451</v>
      </c>
      <c r="V482" t="s">
        <v>451</v>
      </c>
      <c r="X482" s="31">
        <v>44202</v>
      </c>
      <c r="Y482" s="31">
        <v>44202</v>
      </c>
      <c r="AA482" s="31"/>
      <c r="AB482" t="s">
        <v>9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1</v>
      </c>
      <c r="AI482">
        <v>70165</v>
      </c>
      <c r="AJ482">
        <v>2111</v>
      </c>
      <c r="AK482">
        <v>0</v>
      </c>
      <c r="AL482">
        <v>19</v>
      </c>
      <c r="AO482" s="41"/>
      <c r="AP482" s="41"/>
      <c r="AQ482" t="str">
        <f t="shared" si="14"/>
        <v/>
      </c>
      <c r="AS482" t="str">
        <f t="shared" si="15"/>
        <v>wci_corp</v>
      </c>
    </row>
    <row r="483" spans="2:45" x14ac:dyDescent="0.2">
      <c r="B483" t="s">
        <v>142</v>
      </c>
      <c r="C483" s="31">
        <v>44196</v>
      </c>
      <c r="D483" s="15">
        <v>25</v>
      </c>
      <c r="E483" s="15">
        <v>0</v>
      </c>
      <c r="F483" s="53" t="s">
        <v>134</v>
      </c>
      <c r="G483" t="s">
        <v>448</v>
      </c>
      <c r="H483" s="41" t="s">
        <v>136</v>
      </c>
      <c r="I483" t="s">
        <v>449</v>
      </c>
      <c r="J483" t="s">
        <v>190</v>
      </c>
      <c r="K483" t="s">
        <v>139</v>
      </c>
      <c r="L483" s="17"/>
      <c r="M483" s="17"/>
      <c r="N483" s="17" t="s">
        <v>452</v>
      </c>
      <c r="O483" s="36"/>
      <c r="P483" s="17"/>
      <c r="Q483" s="17"/>
      <c r="U483" t="s">
        <v>451</v>
      </c>
      <c r="V483" t="s">
        <v>451</v>
      </c>
      <c r="X483" s="31">
        <v>44202</v>
      </c>
      <c r="Y483" s="31">
        <v>44202</v>
      </c>
      <c r="AA483" s="31"/>
      <c r="AB483" t="s">
        <v>9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1</v>
      </c>
      <c r="AI483">
        <v>70165</v>
      </c>
      <c r="AJ483">
        <v>2111</v>
      </c>
      <c r="AK483">
        <v>0</v>
      </c>
      <c r="AL483">
        <v>19</v>
      </c>
      <c r="AO483" s="41"/>
      <c r="AP483" s="41"/>
      <c r="AQ483" t="str">
        <f t="shared" si="14"/>
        <v/>
      </c>
      <c r="AS483" t="str">
        <f t="shared" si="15"/>
        <v>wci_corp</v>
      </c>
    </row>
    <row r="484" spans="2:45" x14ac:dyDescent="0.2">
      <c r="B484" t="s">
        <v>142</v>
      </c>
      <c r="C484" s="31">
        <v>44196</v>
      </c>
      <c r="D484" s="15">
        <v>25</v>
      </c>
      <c r="E484" s="15">
        <v>0</v>
      </c>
      <c r="F484" s="53" t="s">
        <v>134</v>
      </c>
      <c r="G484" t="s">
        <v>448</v>
      </c>
      <c r="H484" s="41" t="s">
        <v>136</v>
      </c>
      <c r="I484" t="s">
        <v>449</v>
      </c>
      <c r="J484" t="s">
        <v>190</v>
      </c>
      <c r="K484" t="s">
        <v>139</v>
      </c>
      <c r="L484" s="17"/>
      <c r="M484" s="17"/>
      <c r="N484" s="17" t="s">
        <v>452</v>
      </c>
      <c r="O484" s="36"/>
      <c r="P484" s="17"/>
      <c r="Q484" s="17"/>
      <c r="U484" t="s">
        <v>451</v>
      </c>
      <c r="V484" t="s">
        <v>451</v>
      </c>
      <c r="X484" s="31">
        <v>44202</v>
      </c>
      <c r="Y484" s="31">
        <v>44202</v>
      </c>
      <c r="AA484" s="31"/>
      <c r="AB484" t="s">
        <v>9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1</v>
      </c>
      <c r="AI484">
        <v>70165</v>
      </c>
      <c r="AJ484">
        <v>2111</v>
      </c>
      <c r="AK484">
        <v>0</v>
      </c>
      <c r="AL484">
        <v>19</v>
      </c>
      <c r="AO484" s="41"/>
      <c r="AP484" s="41"/>
      <c r="AQ484" t="str">
        <f t="shared" si="14"/>
        <v/>
      </c>
      <c r="AS484" t="str">
        <f t="shared" si="15"/>
        <v>wci_corp</v>
      </c>
    </row>
    <row r="485" spans="2:45" x14ac:dyDescent="0.2">
      <c r="B485" t="s">
        <v>202</v>
      </c>
      <c r="C485" s="31">
        <v>44196</v>
      </c>
      <c r="D485" s="15">
        <v>2023.44</v>
      </c>
      <c r="E485" s="15">
        <v>0</v>
      </c>
      <c r="F485" s="53" t="s">
        <v>134</v>
      </c>
      <c r="G485" t="s">
        <v>453</v>
      </c>
      <c r="H485" s="41" t="s">
        <v>136</v>
      </c>
      <c r="I485" t="s">
        <v>454</v>
      </c>
      <c r="J485" t="s">
        <v>190</v>
      </c>
      <c r="K485" t="s">
        <v>139</v>
      </c>
      <c r="L485" s="17"/>
      <c r="M485" s="17"/>
      <c r="N485" s="17" t="s">
        <v>455</v>
      </c>
      <c r="O485" s="36"/>
      <c r="P485" s="17"/>
      <c r="Q485" s="17"/>
      <c r="U485" t="s">
        <v>456</v>
      </c>
      <c r="V485" t="s">
        <v>456</v>
      </c>
      <c r="X485" s="31">
        <v>44202</v>
      </c>
      <c r="Y485" s="31">
        <v>44203</v>
      </c>
      <c r="AA485" s="31"/>
      <c r="AB485" t="s">
        <v>9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1</v>
      </c>
      <c r="AI485">
        <v>50020</v>
      </c>
      <c r="AJ485">
        <v>2111</v>
      </c>
      <c r="AK485">
        <v>0</v>
      </c>
      <c r="AL485">
        <v>19</v>
      </c>
      <c r="AO485" s="41"/>
      <c r="AP485" s="41"/>
      <c r="AQ485" t="str">
        <f t="shared" si="14"/>
        <v/>
      </c>
      <c r="AS485" t="str">
        <f t="shared" si="15"/>
        <v>wci_corp</v>
      </c>
    </row>
    <row r="486" spans="2:45" x14ac:dyDescent="0.2">
      <c r="B486" t="s">
        <v>202</v>
      </c>
      <c r="C486" s="31">
        <v>44196</v>
      </c>
      <c r="D486" s="15">
        <v>1243.8399999999999</v>
      </c>
      <c r="E486" s="15">
        <v>0</v>
      </c>
      <c r="F486" s="53" t="s">
        <v>134</v>
      </c>
      <c r="G486" t="s">
        <v>453</v>
      </c>
      <c r="H486" s="41" t="s">
        <v>136</v>
      </c>
      <c r="I486" t="s">
        <v>454</v>
      </c>
      <c r="J486" t="s">
        <v>190</v>
      </c>
      <c r="K486" t="s">
        <v>139</v>
      </c>
      <c r="L486" s="17"/>
      <c r="M486" s="17"/>
      <c r="N486" s="17" t="s">
        <v>455</v>
      </c>
      <c r="O486" s="36"/>
      <c r="P486" s="17"/>
      <c r="Q486" s="17"/>
      <c r="U486" t="s">
        <v>456</v>
      </c>
      <c r="V486" t="s">
        <v>456</v>
      </c>
      <c r="X486" s="31">
        <v>44202</v>
      </c>
      <c r="Y486" s="31">
        <v>44203</v>
      </c>
      <c r="AA486" s="31"/>
      <c r="AB486" t="s">
        <v>9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1</v>
      </c>
      <c r="AI486">
        <v>50020</v>
      </c>
      <c r="AJ486">
        <v>2111</v>
      </c>
      <c r="AK486">
        <v>0</v>
      </c>
      <c r="AL486">
        <v>19</v>
      </c>
      <c r="AO486" s="41"/>
      <c r="AP486" s="41"/>
      <c r="AQ486" t="str">
        <f t="shared" si="14"/>
        <v/>
      </c>
      <c r="AS486" t="str">
        <f t="shared" si="15"/>
        <v>wci_corp</v>
      </c>
    </row>
    <row r="487" spans="2:45" x14ac:dyDescent="0.2">
      <c r="B487" t="s">
        <v>202</v>
      </c>
      <c r="C487" s="31">
        <v>44196</v>
      </c>
      <c r="D487" s="15">
        <v>1569.76</v>
      </c>
      <c r="E487" s="15">
        <v>0</v>
      </c>
      <c r="F487" s="53" t="s">
        <v>134</v>
      </c>
      <c r="G487" t="s">
        <v>453</v>
      </c>
      <c r="H487" s="41" t="s">
        <v>136</v>
      </c>
      <c r="I487" t="s">
        <v>454</v>
      </c>
      <c r="J487" t="s">
        <v>190</v>
      </c>
      <c r="K487" t="s">
        <v>139</v>
      </c>
      <c r="L487" s="17"/>
      <c r="M487" s="17"/>
      <c r="N487" s="17" t="s">
        <v>455</v>
      </c>
      <c r="O487" s="36"/>
      <c r="P487" s="17"/>
      <c r="Q487" s="17"/>
      <c r="U487" t="s">
        <v>456</v>
      </c>
      <c r="V487" t="s">
        <v>456</v>
      </c>
      <c r="X487" s="31">
        <v>44202</v>
      </c>
      <c r="Y487" s="31">
        <v>44203</v>
      </c>
      <c r="AA487" s="31"/>
      <c r="AB487" t="s">
        <v>9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1</v>
      </c>
      <c r="AI487">
        <v>50020</v>
      </c>
      <c r="AJ487">
        <v>2111</v>
      </c>
      <c r="AK487">
        <v>0</v>
      </c>
      <c r="AL487">
        <v>19</v>
      </c>
      <c r="AO487" s="41"/>
      <c r="AP487" s="41"/>
      <c r="AQ487" t="str">
        <f t="shared" si="14"/>
        <v/>
      </c>
      <c r="AS487" t="str">
        <f t="shared" si="15"/>
        <v>wci_corp</v>
      </c>
    </row>
    <row r="488" spans="2:45" x14ac:dyDescent="0.2">
      <c r="B488" t="s">
        <v>207</v>
      </c>
      <c r="C488" s="31">
        <v>44196</v>
      </c>
      <c r="D488" s="15">
        <v>227.6</v>
      </c>
      <c r="E488" s="15">
        <v>0</v>
      </c>
      <c r="F488" s="53" t="s">
        <v>134</v>
      </c>
      <c r="G488" t="s">
        <v>453</v>
      </c>
      <c r="H488" s="41" t="s">
        <v>136</v>
      </c>
      <c r="I488" t="s">
        <v>454</v>
      </c>
      <c r="J488" t="s">
        <v>190</v>
      </c>
      <c r="K488" t="s">
        <v>139</v>
      </c>
      <c r="L488" s="17"/>
      <c r="M488" s="17"/>
      <c r="N488" s="17" t="s">
        <v>455</v>
      </c>
      <c r="O488" s="36"/>
      <c r="P488" s="17"/>
      <c r="Q488" s="17"/>
      <c r="U488" t="s">
        <v>456</v>
      </c>
      <c r="V488" t="s">
        <v>456</v>
      </c>
      <c r="X488" s="31">
        <v>44202</v>
      </c>
      <c r="Y488" s="31">
        <v>44203</v>
      </c>
      <c r="AA488" s="31"/>
      <c r="AB488" t="s">
        <v>9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1</v>
      </c>
      <c r="AI488">
        <v>52020</v>
      </c>
      <c r="AJ488">
        <v>2111</v>
      </c>
      <c r="AK488">
        <v>0</v>
      </c>
      <c r="AL488">
        <v>19</v>
      </c>
      <c r="AO488" s="41"/>
      <c r="AP488" s="41"/>
      <c r="AQ488" t="str">
        <f t="shared" si="14"/>
        <v/>
      </c>
      <c r="AS488" t="str">
        <f t="shared" si="15"/>
        <v>wci_corp</v>
      </c>
    </row>
    <row r="489" spans="2:45" x14ac:dyDescent="0.2">
      <c r="B489" t="s">
        <v>418</v>
      </c>
      <c r="C489" s="31">
        <v>44196</v>
      </c>
      <c r="D489" s="15">
        <v>590.16</v>
      </c>
      <c r="E489" s="15">
        <v>0</v>
      </c>
      <c r="F489" s="53" t="s">
        <v>134</v>
      </c>
      <c r="G489" t="s">
        <v>453</v>
      </c>
      <c r="H489" s="41" t="s">
        <v>136</v>
      </c>
      <c r="I489" t="s">
        <v>454</v>
      </c>
      <c r="J489" t="s">
        <v>190</v>
      </c>
      <c r="K489" t="s">
        <v>139</v>
      </c>
      <c r="L489" s="17"/>
      <c r="M489" s="17"/>
      <c r="N489" s="17" t="s">
        <v>455</v>
      </c>
      <c r="O489" s="36"/>
      <c r="P489" s="17"/>
      <c r="Q489" s="17"/>
      <c r="U489" t="s">
        <v>456</v>
      </c>
      <c r="V489" t="s">
        <v>456</v>
      </c>
      <c r="X489" s="31">
        <v>44202</v>
      </c>
      <c r="Y489" s="31">
        <v>44203</v>
      </c>
      <c r="AA489" s="31"/>
      <c r="AB489" t="s">
        <v>9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1</v>
      </c>
      <c r="AI489">
        <v>55020</v>
      </c>
      <c r="AJ489">
        <v>2111</v>
      </c>
      <c r="AK489">
        <v>0</v>
      </c>
      <c r="AL489">
        <v>19</v>
      </c>
      <c r="AO489" s="41"/>
      <c r="AP489" s="41"/>
      <c r="AQ489" t="str">
        <f t="shared" si="14"/>
        <v/>
      </c>
      <c r="AS489" t="str">
        <f t="shared" si="15"/>
        <v>wci_corp</v>
      </c>
    </row>
    <row r="490" spans="2:45" x14ac:dyDescent="0.2">
      <c r="B490" t="s">
        <v>457</v>
      </c>
      <c r="C490" s="31">
        <v>44196</v>
      </c>
      <c r="D490" s="15">
        <v>130.4</v>
      </c>
      <c r="E490" s="15">
        <v>0</v>
      </c>
      <c r="F490" s="53" t="s">
        <v>134</v>
      </c>
      <c r="G490" t="s">
        <v>453</v>
      </c>
      <c r="H490" s="41" t="s">
        <v>136</v>
      </c>
      <c r="I490" t="s">
        <v>454</v>
      </c>
      <c r="J490" t="s">
        <v>190</v>
      </c>
      <c r="K490" t="s">
        <v>139</v>
      </c>
      <c r="L490" s="17"/>
      <c r="M490" s="17"/>
      <c r="N490" s="17" t="s">
        <v>455</v>
      </c>
      <c r="O490" s="36"/>
      <c r="P490" s="17"/>
      <c r="Q490" s="17"/>
      <c r="U490" t="s">
        <v>456</v>
      </c>
      <c r="V490" t="s">
        <v>456</v>
      </c>
      <c r="X490" s="31">
        <v>44202</v>
      </c>
      <c r="Y490" s="31">
        <v>44203</v>
      </c>
      <c r="AA490" s="31"/>
      <c r="AB490" t="s">
        <v>9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1</v>
      </c>
      <c r="AI490">
        <v>70020</v>
      </c>
      <c r="AJ490">
        <v>2111</v>
      </c>
      <c r="AK490">
        <v>0</v>
      </c>
      <c r="AL490">
        <v>19</v>
      </c>
      <c r="AO490" s="41"/>
      <c r="AP490" s="41"/>
      <c r="AQ490" t="str">
        <f t="shared" si="14"/>
        <v/>
      </c>
      <c r="AS490" t="str">
        <f t="shared" si="15"/>
        <v>wci_corp</v>
      </c>
    </row>
    <row r="491" spans="2:45" x14ac:dyDescent="0.2">
      <c r="B491" t="s">
        <v>234</v>
      </c>
      <c r="C491" s="31">
        <v>44196</v>
      </c>
      <c r="D491" s="15">
        <v>386.9</v>
      </c>
      <c r="E491" s="15">
        <v>0</v>
      </c>
      <c r="F491" s="53" t="s">
        <v>134</v>
      </c>
      <c r="G491" t="s">
        <v>458</v>
      </c>
      <c r="H491" s="41" t="s">
        <v>136</v>
      </c>
      <c r="I491" t="s">
        <v>459</v>
      </c>
      <c r="J491" t="s">
        <v>205</v>
      </c>
      <c r="K491" t="s">
        <v>139</v>
      </c>
      <c r="L491" s="17"/>
      <c r="M491" s="17"/>
      <c r="N491" s="17" t="s">
        <v>460</v>
      </c>
      <c r="O491" s="36"/>
      <c r="P491" s="17"/>
      <c r="Q491" s="17"/>
      <c r="U491" t="s">
        <v>461</v>
      </c>
      <c r="V491" t="s">
        <v>461</v>
      </c>
      <c r="X491" s="31">
        <v>44203</v>
      </c>
      <c r="Y491" s="31">
        <v>44204</v>
      </c>
      <c r="AA491" s="31"/>
      <c r="AB491" t="s">
        <v>9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1</v>
      </c>
      <c r="AI491">
        <v>52086</v>
      </c>
      <c r="AJ491">
        <v>2111</v>
      </c>
      <c r="AK491">
        <v>0</v>
      </c>
      <c r="AL491">
        <v>19</v>
      </c>
      <c r="AO491" s="41"/>
      <c r="AP491" s="41"/>
      <c r="AQ491" t="str">
        <f t="shared" si="14"/>
        <v/>
      </c>
      <c r="AS491" t="str">
        <f t="shared" si="15"/>
        <v>wci_corp</v>
      </c>
    </row>
    <row r="492" spans="2:45" x14ac:dyDescent="0.2">
      <c r="B492" t="s">
        <v>407</v>
      </c>
      <c r="C492" s="31">
        <v>44196</v>
      </c>
      <c r="D492" s="15">
        <v>386.89</v>
      </c>
      <c r="E492" s="15">
        <v>0</v>
      </c>
      <c r="F492" s="53" t="s">
        <v>134</v>
      </c>
      <c r="G492" t="s">
        <v>458</v>
      </c>
      <c r="H492" s="41" t="s">
        <v>136</v>
      </c>
      <c r="I492" t="s">
        <v>459</v>
      </c>
      <c r="J492" t="s">
        <v>205</v>
      </c>
      <c r="K492" t="s">
        <v>139</v>
      </c>
      <c r="L492" s="17"/>
      <c r="M492" s="17"/>
      <c r="N492" s="17" t="s">
        <v>460</v>
      </c>
      <c r="O492" s="36"/>
      <c r="P492" s="17"/>
      <c r="Q492" s="17"/>
      <c r="U492" t="s">
        <v>461</v>
      </c>
      <c r="V492" t="s">
        <v>461</v>
      </c>
      <c r="X492" s="31">
        <v>44203</v>
      </c>
      <c r="Y492" s="31">
        <v>44204</v>
      </c>
      <c r="AA492" s="31"/>
      <c r="AB492" t="s">
        <v>9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1</v>
      </c>
      <c r="AI492">
        <v>55086</v>
      </c>
      <c r="AJ492">
        <v>2111</v>
      </c>
      <c r="AK492">
        <v>0</v>
      </c>
      <c r="AL492">
        <v>19</v>
      </c>
      <c r="AO492" s="41"/>
      <c r="AP492" s="41"/>
      <c r="AQ492" t="str">
        <f t="shared" si="14"/>
        <v/>
      </c>
      <c r="AS492" t="str">
        <f t="shared" si="15"/>
        <v>wci_corp</v>
      </c>
    </row>
    <row r="493" spans="2:45" x14ac:dyDescent="0.2">
      <c r="B493" t="s">
        <v>168</v>
      </c>
      <c r="C493" s="31">
        <v>44196</v>
      </c>
      <c r="D493" s="15">
        <v>-4760.32</v>
      </c>
      <c r="E493" s="15">
        <v>0</v>
      </c>
      <c r="F493" s="53" t="s">
        <v>134</v>
      </c>
      <c r="G493" t="s">
        <v>462</v>
      </c>
      <c r="H493" s="41" t="s">
        <v>136</v>
      </c>
      <c r="I493" t="s">
        <v>463</v>
      </c>
      <c r="J493" t="s">
        <v>464</v>
      </c>
      <c r="K493" t="s">
        <v>139</v>
      </c>
      <c r="L493" s="17"/>
      <c r="M493" s="17"/>
      <c r="N493" s="17" t="s">
        <v>463</v>
      </c>
      <c r="O493" s="36"/>
      <c r="P493" s="17"/>
      <c r="Q493" s="17"/>
      <c r="U493" t="s">
        <v>465</v>
      </c>
      <c r="V493" t="s">
        <v>465</v>
      </c>
      <c r="X493" s="31">
        <v>44204</v>
      </c>
      <c r="Y493" s="31">
        <v>44204</v>
      </c>
      <c r="AA493" s="31"/>
      <c r="AB493" t="s">
        <v>9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1</v>
      </c>
      <c r="AI493">
        <v>70036</v>
      </c>
      <c r="AJ493">
        <v>2111</v>
      </c>
      <c r="AK493">
        <v>0</v>
      </c>
      <c r="AL493">
        <v>19</v>
      </c>
      <c r="AO493" s="41"/>
      <c r="AP493" s="41"/>
      <c r="AQ493" t="str">
        <f t="shared" si="14"/>
        <v/>
      </c>
      <c r="AS493" t="str">
        <f t="shared" si="15"/>
        <v>wci_corp</v>
      </c>
    </row>
    <row r="494" spans="2:45" x14ac:dyDescent="0.2">
      <c r="B494" t="s">
        <v>292</v>
      </c>
      <c r="C494" s="31">
        <v>44210</v>
      </c>
      <c r="D494" s="15">
        <v>28.73</v>
      </c>
      <c r="E494" s="15">
        <v>0</v>
      </c>
      <c r="F494" s="53" t="s">
        <v>134</v>
      </c>
      <c r="G494" t="s">
        <v>466</v>
      </c>
      <c r="H494" s="41" t="s">
        <v>136</v>
      </c>
      <c r="I494" t="s">
        <v>237</v>
      </c>
      <c r="J494" t="s">
        <v>238</v>
      </c>
      <c r="K494" t="s">
        <v>139</v>
      </c>
      <c r="L494" s="17" t="s">
        <v>467</v>
      </c>
      <c r="M494" s="17"/>
      <c r="N494" s="17" t="s">
        <v>468</v>
      </c>
      <c r="O494" s="36">
        <v>44201</v>
      </c>
      <c r="P494" s="17" t="s">
        <v>469</v>
      </c>
      <c r="Q494" s="17" t="s">
        <v>470</v>
      </c>
      <c r="R494" t="s">
        <v>471</v>
      </c>
      <c r="U494" t="s">
        <v>472</v>
      </c>
      <c r="V494" t="s">
        <v>473</v>
      </c>
      <c r="W494">
        <v>2111</v>
      </c>
      <c r="X494" s="31">
        <v>44210</v>
      </c>
      <c r="Y494" s="31">
        <v>44216</v>
      </c>
      <c r="Z494">
        <v>28.58</v>
      </c>
      <c r="AA494" s="31">
        <v>44246</v>
      </c>
      <c r="AB494" t="s">
        <v>9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1</v>
      </c>
      <c r="AI494">
        <v>57147</v>
      </c>
      <c r="AJ494">
        <v>2111</v>
      </c>
      <c r="AK494">
        <v>0</v>
      </c>
      <c r="AL494">
        <v>19</v>
      </c>
      <c r="AO494" s="41"/>
      <c r="AP494" s="41"/>
      <c r="AQ494" t="str">
        <f t="shared" si="14"/>
        <v>VO05655659</v>
      </c>
      <c r="AS494" t="str">
        <f t="shared" si="15"/>
        <v>wci_corp</v>
      </c>
    </row>
    <row r="495" spans="2:45" x14ac:dyDescent="0.2">
      <c r="B495" t="s">
        <v>202</v>
      </c>
      <c r="C495" s="31">
        <v>44227</v>
      </c>
      <c r="D495" s="15">
        <v>-2023.44</v>
      </c>
      <c r="E495" s="15">
        <v>0</v>
      </c>
      <c r="F495" s="53" t="s">
        <v>134</v>
      </c>
      <c r="G495" t="s">
        <v>474</v>
      </c>
      <c r="H495" s="41" t="s">
        <v>136</v>
      </c>
      <c r="I495" t="s">
        <v>454</v>
      </c>
      <c r="J495" t="s">
        <v>138</v>
      </c>
      <c r="K495" t="s">
        <v>139</v>
      </c>
      <c r="L495" s="17"/>
      <c r="M495" s="17"/>
      <c r="N495" s="17" t="s">
        <v>455</v>
      </c>
      <c r="O495" s="36"/>
      <c r="P495" s="17"/>
      <c r="Q495" s="17"/>
      <c r="U495" t="s">
        <v>456</v>
      </c>
      <c r="V495" t="s">
        <v>475</v>
      </c>
      <c r="X495" s="31">
        <v>44202</v>
      </c>
      <c r="Y495" s="31">
        <v>44203</v>
      </c>
      <c r="AA495" s="31"/>
      <c r="AB495" t="s">
        <v>9</v>
      </c>
      <c r="AC495">
        <v>0</v>
      </c>
      <c r="AD495">
        <v>0</v>
      </c>
      <c r="AE495">
        <v>0</v>
      </c>
      <c r="AF495">
        <v>0</v>
      </c>
      <c r="AG495">
        <v>5</v>
      </c>
      <c r="AH495">
        <v>1</v>
      </c>
      <c r="AI495">
        <v>50020</v>
      </c>
      <c r="AJ495">
        <v>2111</v>
      </c>
      <c r="AK495">
        <v>0</v>
      </c>
      <c r="AL495">
        <v>19</v>
      </c>
      <c r="AO495" s="41"/>
      <c r="AP495" s="41"/>
      <c r="AQ495" t="str">
        <f t="shared" si="14"/>
        <v/>
      </c>
      <c r="AS495" t="str">
        <f t="shared" si="15"/>
        <v>wci_corp</v>
      </c>
    </row>
    <row r="496" spans="2:45" x14ac:dyDescent="0.2">
      <c r="B496" t="s">
        <v>202</v>
      </c>
      <c r="C496" s="31">
        <v>44227</v>
      </c>
      <c r="D496" s="15">
        <v>-1243.8399999999999</v>
      </c>
      <c r="E496" s="15">
        <v>0</v>
      </c>
      <c r="F496" s="53" t="s">
        <v>134</v>
      </c>
      <c r="G496" t="s">
        <v>474</v>
      </c>
      <c r="H496" s="41" t="s">
        <v>136</v>
      </c>
      <c r="I496" t="s">
        <v>454</v>
      </c>
      <c r="J496" t="s">
        <v>138</v>
      </c>
      <c r="K496" t="s">
        <v>139</v>
      </c>
      <c r="L496" s="17"/>
      <c r="M496" s="17"/>
      <c r="N496" s="17" t="s">
        <v>455</v>
      </c>
      <c r="O496" s="36"/>
      <c r="P496" s="17"/>
      <c r="Q496" s="17"/>
      <c r="U496" t="s">
        <v>456</v>
      </c>
      <c r="V496" t="s">
        <v>475</v>
      </c>
      <c r="X496" s="31">
        <v>44202</v>
      </c>
      <c r="Y496" s="31">
        <v>44203</v>
      </c>
      <c r="AA496" s="31"/>
      <c r="AB496" t="s">
        <v>9</v>
      </c>
      <c r="AC496">
        <v>0</v>
      </c>
      <c r="AD496">
        <v>0</v>
      </c>
      <c r="AE496">
        <v>0</v>
      </c>
      <c r="AF496">
        <v>0</v>
      </c>
      <c r="AG496">
        <v>5</v>
      </c>
      <c r="AH496">
        <v>1</v>
      </c>
      <c r="AI496">
        <v>50020</v>
      </c>
      <c r="AJ496">
        <v>2111</v>
      </c>
      <c r="AK496">
        <v>0</v>
      </c>
      <c r="AL496">
        <v>19</v>
      </c>
      <c r="AO496" s="41"/>
      <c r="AP496" s="41"/>
      <c r="AQ496" t="str">
        <f t="shared" si="14"/>
        <v/>
      </c>
      <c r="AS496" t="str">
        <f t="shared" si="15"/>
        <v>wci_corp</v>
      </c>
    </row>
    <row r="497" spans="2:45" x14ac:dyDescent="0.2">
      <c r="B497" t="s">
        <v>202</v>
      </c>
      <c r="C497" s="31">
        <v>44227</v>
      </c>
      <c r="D497" s="15">
        <v>-1569.76</v>
      </c>
      <c r="E497" s="15">
        <v>0</v>
      </c>
      <c r="F497" s="53" t="s">
        <v>134</v>
      </c>
      <c r="G497" t="s">
        <v>474</v>
      </c>
      <c r="H497" s="41" t="s">
        <v>136</v>
      </c>
      <c r="I497" t="s">
        <v>454</v>
      </c>
      <c r="J497" t="s">
        <v>138</v>
      </c>
      <c r="K497" t="s">
        <v>139</v>
      </c>
      <c r="L497" s="17"/>
      <c r="M497" s="17"/>
      <c r="N497" s="17" t="s">
        <v>455</v>
      </c>
      <c r="O497" s="36"/>
      <c r="P497" s="17"/>
      <c r="Q497" s="17"/>
      <c r="U497" t="s">
        <v>456</v>
      </c>
      <c r="V497" t="s">
        <v>475</v>
      </c>
      <c r="X497" s="31">
        <v>44202</v>
      </c>
      <c r="Y497" s="31">
        <v>44203</v>
      </c>
      <c r="AA497" s="31"/>
      <c r="AB497" t="s">
        <v>9</v>
      </c>
      <c r="AC497">
        <v>0</v>
      </c>
      <c r="AD497">
        <v>0</v>
      </c>
      <c r="AE497">
        <v>0</v>
      </c>
      <c r="AF497">
        <v>0</v>
      </c>
      <c r="AG497">
        <v>5</v>
      </c>
      <c r="AH497">
        <v>1</v>
      </c>
      <c r="AI497">
        <v>50020</v>
      </c>
      <c r="AJ497">
        <v>2111</v>
      </c>
      <c r="AK497">
        <v>0</v>
      </c>
      <c r="AL497">
        <v>19</v>
      </c>
      <c r="AO497" s="41"/>
      <c r="AP497" s="41"/>
      <c r="AQ497" t="str">
        <f t="shared" si="14"/>
        <v/>
      </c>
      <c r="AS497" t="str">
        <f t="shared" si="15"/>
        <v>wci_corp</v>
      </c>
    </row>
    <row r="498" spans="2:45" x14ac:dyDescent="0.2">
      <c r="B498" t="s">
        <v>207</v>
      </c>
      <c r="C498" s="31">
        <v>44227</v>
      </c>
      <c r="D498" s="15">
        <v>-227.6</v>
      </c>
      <c r="E498" s="15">
        <v>0</v>
      </c>
      <c r="F498" s="53" t="s">
        <v>134</v>
      </c>
      <c r="G498" t="s">
        <v>474</v>
      </c>
      <c r="H498" s="41" t="s">
        <v>136</v>
      </c>
      <c r="I498" t="s">
        <v>454</v>
      </c>
      <c r="J498" t="s">
        <v>138</v>
      </c>
      <c r="K498" t="s">
        <v>139</v>
      </c>
      <c r="L498" s="17"/>
      <c r="M498" s="17"/>
      <c r="N498" s="17" t="s">
        <v>455</v>
      </c>
      <c r="O498" s="36"/>
      <c r="P498" s="17"/>
      <c r="Q498" s="17"/>
      <c r="U498" t="s">
        <v>456</v>
      </c>
      <c r="V498" t="s">
        <v>475</v>
      </c>
      <c r="X498" s="31">
        <v>44202</v>
      </c>
      <c r="Y498" s="31">
        <v>44203</v>
      </c>
      <c r="AA498" s="31"/>
      <c r="AB498" t="s">
        <v>9</v>
      </c>
      <c r="AC498">
        <v>0</v>
      </c>
      <c r="AD498">
        <v>0</v>
      </c>
      <c r="AE498">
        <v>0</v>
      </c>
      <c r="AF498">
        <v>0</v>
      </c>
      <c r="AG498">
        <v>5</v>
      </c>
      <c r="AH498">
        <v>1</v>
      </c>
      <c r="AI498">
        <v>52020</v>
      </c>
      <c r="AJ498">
        <v>2111</v>
      </c>
      <c r="AK498">
        <v>0</v>
      </c>
      <c r="AL498">
        <v>19</v>
      </c>
      <c r="AO498" s="41"/>
      <c r="AP498" s="41"/>
      <c r="AQ498" t="str">
        <f t="shared" si="14"/>
        <v/>
      </c>
      <c r="AS498" t="str">
        <f t="shared" si="15"/>
        <v>wci_corp</v>
      </c>
    </row>
    <row r="499" spans="2:45" x14ac:dyDescent="0.2">
      <c r="B499" t="s">
        <v>418</v>
      </c>
      <c r="C499" s="31">
        <v>44227</v>
      </c>
      <c r="D499" s="15">
        <v>-590.16</v>
      </c>
      <c r="E499" s="15">
        <v>0</v>
      </c>
      <c r="F499" s="53" t="s">
        <v>134</v>
      </c>
      <c r="G499" t="s">
        <v>474</v>
      </c>
      <c r="H499" s="41" t="s">
        <v>136</v>
      </c>
      <c r="I499" t="s">
        <v>454</v>
      </c>
      <c r="J499" t="s">
        <v>138</v>
      </c>
      <c r="K499" t="s">
        <v>139</v>
      </c>
      <c r="L499" s="17"/>
      <c r="M499" s="17"/>
      <c r="N499" s="17" t="s">
        <v>455</v>
      </c>
      <c r="O499" s="36"/>
      <c r="P499" s="17"/>
      <c r="Q499" s="17"/>
      <c r="U499" t="s">
        <v>456</v>
      </c>
      <c r="V499" t="s">
        <v>475</v>
      </c>
      <c r="X499" s="31">
        <v>44202</v>
      </c>
      <c r="Y499" s="31">
        <v>44203</v>
      </c>
      <c r="AA499" s="31"/>
      <c r="AB499" t="s">
        <v>9</v>
      </c>
      <c r="AC499">
        <v>0</v>
      </c>
      <c r="AD499">
        <v>0</v>
      </c>
      <c r="AE499">
        <v>0</v>
      </c>
      <c r="AF499">
        <v>0</v>
      </c>
      <c r="AG499">
        <v>5</v>
      </c>
      <c r="AH499">
        <v>1</v>
      </c>
      <c r="AI499">
        <v>55020</v>
      </c>
      <c r="AJ499">
        <v>2111</v>
      </c>
      <c r="AK499">
        <v>0</v>
      </c>
      <c r="AL499">
        <v>19</v>
      </c>
      <c r="AO499" s="41"/>
      <c r="AP499" s="41"/>
      <c r="AQ499" t="str">
        <f t="shared" si="14"/>
        <v/>
      </c>
      <c r="AS499" t="str">
        <f t="shared" si="15"/>
        <v>wci_corp</v>
      </c>
    </row>
    <row r="500" spans="2:45" x14ac:dyDescent="0.2">
      <c r="B500" t="s">
        <v>457</v>
      </c>
      <c r="C500" s="31">
        <v>44227</v>
      </c>
      <c r="D500" s="15">
        <v>-130.4</v>
      </c>
      <c r="E500" s="15">
        <v>0</v>
      </c>
      <c r="F500" s="53" t="s">
        <v>134</v>
      </c>
      <c r="G500" t="s">
        <v>474</v>
      </c>
      <c r="H500" s="41" t="s">
        <v>136</v>
      </c>
      <c r="I500" t="s">
        <v>454</v>
      </c>
      <c r="J500" t="s">
        <v>138</v>
      </c>
      <c r="K500" t="s">
        <v>139</v>
      </c>
      <c r="L500" s="17"/>
      <c r="M500" s="17"/>
      <c r="N500" s="17" t="s">
        <v>455</v>
      </c>
      <c r="O500" s="36"/>
      <c r="P500" s="17"/>
      <c r="Q500" s="17"/>
      <c r="U500" t="s">
        <v>456</v>
      </c>
      <c r="V500" t="s">
        <v>475</v>
      </c>
      <c r="X500" s="31">
        <v>44202</v>
      </c>
      <c r="Y500" s="31">
        <v>44203</v>
      </c>
      <c r="AA500" s="31"/>
      <c r="AB500" t="s">
        <v>9</v>
      </c>
      <c r="AC500">
        <v>0</v>
      </c>
      <c r="AD500">
        <v>0</v>
      </c>
      <c r="AE500">
        <v>0</v>
      </c>
      <c r="AF500">
        <v>0</v>
      </c>
      <c r="AG500">
        <v>5</v>
      </c>
      <c r="AH500">
        <v>1</v>
      </c>
      <c r="AI500">
        <v>70020</v>
      </c>
      <c r="AJ500">
        <v>2111</v>
      </c>
      <c r="AK500">
        <v>0</v>
      </c>
      <c r="AL500">
        <v>19</v>
      </c>
      <c r="AO500" s="41"/>
      <c r="AP500" s="41"/>
      <c r="AQ500" t="str">
        <f t="shared" si="14"/>
        <v/>
      </c>
      <c r="AS500" t="str">
        <f t="shared" si="15"/>
        <v>wci_corp</v>
      </c>
    </row>
    <row r="501" spans="2:45" x14ac:dyDescent="0.2">
      <c r="B501" t="s">
        <v>234</v>
      </c>
      <c r="C501" s="31">
        <v>44227</v>
      </c>
      <c r="D501" s="15">
        <v>-386.9</v>
      </c>
      <c r="E501" s="15">
        <v>0</v>
      </c>
      <c r="F501" s="53" t="s">
        <v>134</v>
      </c>
      <c r="G501" t="s">
        <v>476</v>
      </c>
      <c r="H501" s="41" t="s">
        <v>136</v>
      </c>
      <c r="I501" t="s">
        <v>459</v>
      </c>
      <c r="J501" t="s">
        <v>138</v>
      </c>
      <c r="K501" t="s">
        <v>139</v>
      </c>
      <c r="L501" s="17"/>
      <c r="M501" s="17"/>
      <c r="N501" s="17" t="s">
        <v>460</v>
      </c>
      <c r="O501" s="36"/>
      <c r="P501" s="17"/>
      <c r="Q501" s="17"/>
      <c r="U501" t="s">
        <v>461</v>
      </c>
      <c r="V501" t="s">
        <v>477</v>
      </c>
      <c r="X501" s="31">
        <v>44204</v>
      </c>
      <c r="Y501" s="31">
        <v>44204</v>
      </c>
      <c r="AA501" s="31"/>
      <c r="AB501" t="s">
        <v>9</v>
      </c>
      <c r="AC501">
        <v>0</v>
      </c>
      <c r="AD501">
        <v>0</v>
      </c>
      <c r="AE501">
        <v>0</v>
      </c>
      <c r="AF501">
        <v>0</v>
      </c>
      <c r="AG501">
        <v>5</v>
      </c>
      <c r="AH501">
        <v>1</v>
      </c>
      <c r="AI501">
        <v>52086</v>
      </c>
      <c r="AJ501">
        <v>2111</v>
      </c>
      <c r="AK501">
        <v>0</v>
      </c>
      <c r="AL501">
        <v>19</v>
      </c>
      <c r="AO501" s="41"/>
      <c r="AP501" s="41"/>
      <c r="AQ501" t="str">
        <f t="shared" si="14"/>
        <v/>
      </c>
      <c r="AS501" t="str">
        <f t="shared" si="15"/>
        <v>wci_corp</v>
      </c>
    </row>
    <row r="502" spans="2:45" x14ac:dyDescent="0.2">
      <c r="B502" t="s">
        <v>407</v>
      </c>
      <c r="C502" s="31">
        <v>44227</v>
      </c>
      <c r="D502" s="15">
        <v>-386.89</v>
      </c>
      <c r="E502" s="15">
        <v>0</v>
      </c>
      <c r="F502" s="53" t="s">
        <v>134</v>
      </c>
      <c r="G502" t="s">
        <v>476</v>
      </c>
      <c r="H502" s="41" t="s">
        <v>136</v>
      </c>
      <c r="I502" t="s">
        <v>459</v>
      </c>
      <c r="J502" t="s">
        <v>138</v>
      </c>
      <c r="K502" t="s">
        <v>139</v>
      </c>
      <c r="L502" s="17"/>
      <c r="M502" s="17"/>
      <c r="N502" s="17" t="s">
        <v>460</v>
      </c>
      <c r="O502" s="36"/>
      <c r="P502" s="17"/>
      <c r="Q502" s="17"/>
      <c r="U502" t="s">
        <v>461</v>
      </c>
      <c r="V502" t="s">
        <v>477</v>
      </c>
      <c r="X502" s="31">
        <v>44204</v>
      </c>
      <c r="Y502" s="31">
        <v>44204</v>
      </c>
      <c r="AA502" s="31"/>
      <c r="AB502" t="s">
        <v>9</v>
      </c>
      <c r="AC502">
        <v>0</v>
      </c>
      <c r="AD502">
        <v>0</v>
      </c>
      <c r="AE502">
        <v>0</v>
      </c>
      <c r="AF502">
        <v>0</v>
      </c>
      <c r="AG502">
        <v>5</v>
      </c>
      <c r="AH502">
        <v>1</v>
      </c>
      <c r="AI502">
        <v>55086</v>
      </c>
      <c r="AJ502">
        <v>2111</v>
      </c>
      <c r="AK502">
        <v>0</v>
      </c>
      <c r="AL502">
        <v>19</v>
      </c>
      <c r="AO502" s="41"/>
      <c r="AP502" s="41"/>
      <c r="AQ502" t="str">
        <f t="shared" si="14"/>
        <v/>
      </c>
      <c r="AS502" t="str">
        <f t="shared" si="15"/>
        <v>wci_corp</v>
      </c>
    </row>
    <row r="503" spans="2:45" x14ac:dyDescent="0.2">
      <c r="B503" t="s">
        <v>234</v>
      </c>
      <c r="C503" s="31">
        <v>44227</v>
      </c>
      <c r="D503" s="15">
        <v>109.88</v>
      </c>
      <c r="E503" s="15">
        <v>0</v>
      </c>
      <c r="F503" s="53" t="s">
        <v>134</v>
      </c>
      <c r="G503" t="s">
        <v>478</v>
      </c>
      <c r="H503" s="41" t="s">
        <v>136</v>
      </c>
      <c r="I503" t="s">
        <v>479</v>
      </c>
      <c r="J503" t="s">
        <v>464</v>
      </c>
      <c r="K503" t="s">
        <v>139</v>
      </c>
      <c r="L503" s="17"/>
      <c r="M503" s="17"/>
      <c r="N503" s="17" t="s">
        <v>440</v>
      </c>
      <c r="O503" s="36"/>
      <c r="P503" s="17"/>
      <c r="Q503" s="17"/>
      <c r="U503" t="s">
        <v>480</v>
      </c>
      <c r="V503" t="s">
        <v>480</v>
      </c>
      <c r="X503" s="31">
        <v>44229</v>
      </c>
      <c r="Y503" s="31">
        <v>44229</v>
      </c>
      <c r="AA503" s="31"/>
      <c r="AB503" t="s">
        <v>9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1</v>
      </c>
      <c r="AI503">
        <v>52086</v>
      </c>
      <c r="AJ503">
        <v>2111</v>
      </c>
      <c r="AK503">
        <v>0</v>
      </c>
      <c r="AL503">
        <v>19</v>
      </c>
      <c r="AO503" s="41"/>
      <c r="AP503" s="41"/>
      <c r="AQ503" t="str">
        <f t="shared" si="14"/>
        <v/>
      </c>
      <c r="AS503" t="str">
        <f t="shared" si="15"/>
        <v>wci_corp</v>
      </c>
    </row>
    <row r="504" spans="2:45" x14ac:dyDescent="0.2">
      <c r="B504" t="s">
        <v>234</v>
      </c>
      <c r="C504" s="31">
        <v>44227</v>
      </c>
      <c r="D504" s="15">
        <v>134.12</v>
      </c>
      <c r="E504" s="15">
        <v>0</v>
      </c>
      <c r="F504" s="53" t="s">
        <v>134</v>
      </c>
      <c r="G504" t="s">
        <v>478</v>
      </c>
      <c r="H504" s="41" t="s">
        <v>136</v>
      </c>
      <c r="I504" t="s">
        <v>479</v>
      </c>
      <c r="J504" t="s">
        <v>464</v>
      </c>
      <c r="K504" t="s">
        <v>139</v>
      </c>
      <c r="L504" s="17"/>
      <c r="M504" s="17"/>
      <c r="N504" s="17" t="s">
        <v>217</v>
      </c>
      <c r="O504" s="36"/>
      <c r="P504" s="17"/>
      <c r="Q504" s="17"/>
      <c r="U504" t="s">
        <v>480</v>
      </c>
      <c r="V504" t="s">
        <v>480</v>
      </c>
      <c r="X504" s="31">
        <v>44229</v>
      </c>
      <c r="Y504" s="31">
        <v>44229</v>
      </c>
      <c r="AA504" s="31"/>
      <c r="AB504" t="s">
        <v>9</v>
      </c>
      <c r="AC504">
        <v>0</v>
      </c>
      <c r="AD504">
        <v>0</v>
      </c>
      <c r="AE504">
        <v>0</v>
      </c>
      <c r="AF504">
        <v>0</v>
      </c>
      <c r="AG504">
        <v>0</v>
      </c>
      <c r="AH504">
        <v>1</v>
      </c>
      <c r="AI504">
        <v>52086</v>
      </c>
      <c r="AJ504">
        <v>2111</v>
      </c>
      <c r="AK504">
        <v>0</v>
      </c>
      <c r="AL504">
        <v>19</v>
      </c>
      <c r="AO504" s="41"/>
      <c r="AP504" s="41"/>
      <c r="AQ504" t="str">
        <f t="shared" si="14"/>
        <v/>
      </c>
      <c r="AS504" t="str">
        <f t="shared" si="15"/>
        <v>wci_corp</v>
      </c>
    </row>
    <row r="505" spans="2:45" x14ac:dyDescent="0.2">
      <c r="B505" t="s">
        <v>234</v>
      </c>
      <c r="C505" s="31">
        <v>44227</v>
      </c>
      <c r="D505" s="15">
        <v>386.9</v>
      </c>
      <c r="E505" s="15">
        <v>0</v>
      </c>
      <c r="F505" s="53" t="s">
        <v>134</v>
      </c>
      <c r="G505" t="s">
        <v>478</v>
      </c>
      <c r="H505" s="41" t="s">
        <v>136</v>
      </c>
      <c r="I505" t="s">
        <v>479</v>
      </c>
      <c r="J505" t="s">
        <v>464</v>
      </c>
      <c r="K505" t="s">
        <v>139</v>
      </c>
      <c r="L505" s="17"/>
      <c r="M505" s="17"/>
      <c r="N505" s="17" t="s">
        <v>460</v>
      </c>
      <c r="O505" s="36"/>
      <c r="P505" s="17"/>
      <c r="Q505" s="17"/>
      <c r="U505" t="s">
        <v>480</v>
      </c>
      <c r="V505" t="s">
        <v>480</v>
      </c>
      <c r="X505" s="31">
        <v>44229</v>
      </c>
      <c r="Y505" s="31">
        <v>44229</v>
      </c>
      <c r="AA505" s="31"/>
      <c r="AB505" t="s">
        <v>9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1</v>
      </c>
      <c r="AI505">
        <v>52086</v>
      </c>
      <c r="AJ505">
        <v>2111</v>
      </c>
      <c r="AK505">
        <v>0</v>
      </c>
      <c r="AL505">
        <v>19</v>
      </c>
      <c r="AO505" s="41"/>
      <c r="AP505" s="41"/>
      <c r="AQ505" t="str">
        <f t="shared" si="14"/>
        <v/>
      </c>
      <c r="AS505" t="str">
        <f t="shared" si="15"/>
        <v>wci_corp</v>
      </c>
    </row>
    <row r="506" spans="2:45" x14ac:dyDescent="0.2">
      <c r="B506" t="s">
        <v>407</v>
      </c>
      <c r="C506" s="31">
        <v>44227</v>
      </c>
      <c r="D506" s="15">
        <v>386.89</v>
      </c>
      <c r="E506" s="15">
        <v>0</v>
      </c>
      <c r="F506" s="53" t="s">
        <v>134</v>
      </c>
      <c r="G506" t="s">
        <v>478</v>
      </c>
      <c r="H506" s="41" t="s">
        <v>136</v>
      </c>
      <c r="I506" t="s">
        <v>479</v>
      </c>
      <c r="J506" t="s">
        <v>464</v>
      </c>
      <c r="K506" t="s">
        <v>139</v>
      </c>
      <c r="L506" s="17"/>
      <c r="M506" s="17"/>
      <c r="N506" s="17" t="s">
        <v>460</v>
      </c>
      <c r="O506" s="36"/>
      <c r="P506" s="17"/>
      <c r="Q506" s="17"/>
      <c r="U506" t="s">
        <v>480</v>
      </c>
      <c r="V506" t="s">
        <v>480</v>
      </c>
      <c r="X506" s="31">
        <v>44229</v>
      </c>
      <c r="Y506" s="31">
        <v>44229</v>
      </c>
      <c r="AA506" s="31"/>
      <c r="AB506" t="s">
        <v>9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1</v>
      </c>
      <c r="AI506">
        <v>55086</v>
      </c>
      <c r="AJ506">
        <v>2111</v>
      </c>
      <c r="AK506">
        <v>0</v>
      </c>
      <c r="AL506">
        <v>19</v>
      </c>
      <c r="AO506" s="41"/>
      <c r="AP506" s="41"/>
      <c r="AQ506" t="str">
        <f t="shared" si="14"/>
        <v/>
      </c>
      <c r="AS506" t="str">
        <f t="shared" si="15"/>
        <v>wci_corp</v>
      </c>
    </row>
    <row r="507" spans="2:45" x14ac:dyDescent="0.2">
      <c r="B507" t="s">
        <v>481</v>
      </c>
      <c r="C507" s="31">
        <v>44227</v>
      </c>
      <c r="D507" s="15">
        <v>46.05</v>
      </c>
      <c r="E507" s="15">
        <v>0</v>
      </c>
      <c r="F507" s="53" t="s">
        <v>134</v>
      </c>
      <c r="G507" t="s">
        <v>482</v>
      </c>
      <c r="H507" s="41" t="s">
        <v>136</v>
      </c>
      <c r="I507" t="s">
        <v>483</v>
      </c>
      <c r="J507" t="s">
        <v>173</v>
      </c>
      <c r="K507" t="s">
        <v>139</v>
      </c>
      <c r="L507" s="17"/>
      <c r="M507" s="17"/>
      <c r="N507" s="17" t="s">
        <v>484</v>
      </c>
      <c r="O507" s="36"/>
      <c r="P507" s="17"/>
      <c r="Q507" s="17"/>
      <c r="U507" t="s">
        <v>485</v>
      </c>
      <c r="V507" t="s">
        <v>485</v>
      </c>
      <c r="X507" s="31">
        <v>44230</v>
      </c>
      <c r="Y507" s="31">
        <v>44230</v>
      </c>
      <c r="AA507" s="31"/>
      <c r="AB507" t="s">
        <v>9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1</v>
      </c>
      <c r="AI507">
        <v>52120</v>
      </c>
      <c r="AJ507">
        <v>2111</v>
      </c>
      <c r="AK507">
        <v>0</v>
      </c>
      <c r="AL507">
        <v>19</v>
      </c>
      <c r="AO507" s="41"/>
      <c r="AP507" s="41"/>
      <c r="AQ507" t="str">
        <f t="shared" si="14"/>
        <v/>
      </c>
      <c r="AS507" t="str">
        <f t="shared" si="15"/>
        <v>wci_corp</v>
      </c>
    </row>
    <row r="508" spans="2:45" x14ac:dyDescent="0.2">
      <c r="B508" t="s">
        <v>481</v>
      </c>
      <c r="C508" s="31">
        <v>44227</v>
      </c>
      <c r="D508" s="15">
        <v>52.71</v>
      </c>
      <c r="E508" s="15">
        <v>0</v>
      </c>
      <c r="F508" s="53" t="s">
        <v>134</v>
      </c>
      <c r="G508" t="s">
        <v>482</v>
      </c>
      <c r="H508" s="41" t="s">
        <v>136</v>
      </c>
      <c r="I508" t="s">
        <v>483</v>
      </c>
      <c r="J508" t="s">
        <v>173</v>
      </c>
      <c r="K508" t="s">
        <v>139</v>
      </c>
      <c r="L508" s="17"/>
      <c r="M508" s="17"/>
      <c r="N508" s="17" t="s">
        <v>486</v>
      </c>
      <c r="O508" s="36"/>
      <c r="P508" s="17"/>
      <c r="Q508" s="17"/>
      <c r="U508" t="s">
        <v>485</v>
      </c>
      <c r="V508" t="s">
        <v>485</v>
      </c>
      <c r="X508" s="31">
        <v>44230</v>
      </c>
      <c r="Y508" s="31">
        <v>44230</v>
      </c>
      <c r="AA508" s="31"/>
      <c r="AB508" t="s">
        <v>9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1</v>
      </c>
      <c r="AI508">
        <v>52120</v>
      </c>
      <c r="AJ508">
        <v>2111</v>
      </c>
      <c r="AK508">
        <v>0</v>
      </c>
      <c r="AL508">
        <v>19</v>
      </c>
      <c r="AO508" s="41"/>
      <c r="AP508" s="41"/>
      <c r="AQ508" t="str">
        <f t="shared" si="14"/>
        <v/>
      </c>
      <c r="AS508" t="str">
        <f t="shared" si="15"/>
        <v>wci_corp</v>
      </c>
    </row>
    <row r="509" spans="2:45" x14ac:dyDescent="0.2">
      <c r="B509" t="s">
        <v>487</v>
      </c>
      <c r="C509" s="31">
        <v>44227</v>
      </c>
      <c r="D509" s="15">
        <v>42.86</v>
      </c>
      <c r="E509" s="15">
        <v>0</v>
      </c>
      <c r="F509" s="53" t="s">
        <v>134</v>
      </c>
      <c r="G509" t="s">
        <v>482</v>
      </c>
      <c r="H509" s="41" t="s">
        <v>136</v>
      </c>
      <c r="I509" t="s">
        <v>483</v>
      </c>
      <c r="J509" t="s">
        <v>173</v>
      </c>
      <c r="K509" t="s">
        <v>139</v>
      </c>
      <c r="L509" s="17"/>
      <c r="M509" s="17"/>
      <c r="N509" s="17" t="s">
        <v>488</v>
      </c>
      <c r="O509" s="36"/>
      <c r="P509" s="17"/>
      <c r="Q509" s="17"/>
      <c r="U509" t="s">
        <v>485</v>
      </c>
      <c r="V509" t="s">
        <v>485</v>
      </c>
      <c r="X509" s="31">
        <v>44230</v>
      </c>
      <c r="Y509" s="31">
        <v>44230</v>
      </c>
      <c r="AA509" s="31"/>
      <c r="AB509" t="s">
        <v>9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1</v>
      </c>
      <c r="AI509">
        <v>56201</v>
      </c>
      <c r="AJ509">
        <v>2111</v>
      </c>
      <c r="AK509">
        <v>0</v>
      </c>
      <c r="AL509">
        <v>19</v>
      </c>
      <c r="AO509" s="41"/>
      <c r="AP509" s="41"/>
      <c r="AQ509" t="str">
        <f t="shared" si="14"/>
        <v/>
      </c>
      <c r="AS509" t="str">
        <f t="shared" si="15"/>
        <v>wci_corp</v>
      </c>
    </row>
    <row r="510" spans="2:45" x14ac:dyDescent="0.2">
      <c r="B510" t="s">
        <v>202</v>
      </c>
      <c r="C510" s="31">
        <v>44227</v>
      </c>
      <c r="D510" s="15">
        <v>3083.44</v>
      </c>
      <c r="E510" s="15">
        <v>0</v>
      </c>
      <c r="F510" s="53" t="s">
        <v>134</v>
      </c>
      <c r="G510" t="s">
        <v>489</v>
      </c>
      <c r="H510" s="41" t="s">
        <v>136</v>
      </c>
      <c r="I510" t="s">
        <v>490</v>
      </c>
      <c r="J510" t="s">
        <v>190</v>
      </c>
      <c r="K510" t="s">
        <v>139</v>
      </c>
      <c r="L510" s="17"/>
      <c r="M510" s="17"/>
      <c r="N510" s="17" t="s">
        <v>491</v>
      </c>
      <c r="O510" s="36"/>
      <c r="P510" s="17"/>
      <c r="Q510" s="17"/>
      <c r="U510" t="s">
        <v>492</v>
      </c>
      <c r="V510" t="s">
        <v>492</v>
      </c>
      <c r="X510" s="31">
        <v>44230</v>
      </c>
      <c r="Y510" s="31">
        <v>44230</v>
      </c>
      <c r="AA510" s="31"/>
      <c r="AB510" t="s">
        <v>9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1</v>
      </c>
      <c r="AI510">
        <v>50020</v>
      </c>
      <c r="AJ510">
        <v>2111</v>
      </c>
      <c r="AK510">
        <v>0</v>
      </c>
      <c r="AL510">
        <v>19</v>
      </c>
      <c r="AO510" s="41"/>
      <c r="AP510" s="41"/>
      <c r="AQ510" t="str">
        <f t="shared" si="14"/>
        <v/>
      </c>
      <c r="AS510" t="str">
        <f t="shared" si="15"/>
        <v>wci_corp</v>
      </c>
    </row>
    <row r="511" spans="2:45" x14ac:dyDescent="0.2">
      <c r="B511" t="s">
        <v>202</v>
      </c>
      <c r="C511" s="31">
        <v>44227</v>
      </c>
      <c r="D511" s="15">
        <v>4056.8</v>
      </c>
      <c r="E511" s="15">
        <v>0</v>
      </c>
      <c r="F511" s="53" t="s">
        <v>134</v>
      </c>
      <c r="G511" t="s">
        <v>489</v>
      </c>
      <c r="H511" s="41" t="s">
        <v>136</v>
      </c>
      <c r="I511" t="s">
        <v>490</v>
      </c>
      <c r="J511" t="s">
        <v>190</v>
      </c>
      <c r="K511" t="s">
        <v>139</v>
      </c>
      <c r="L511" s="17"/>
      <c r="M511" s="17"/>
      <c r="N511" s="17" t="s">
        <v>491</v>
      </c>
      <c r="O511" s="36"/>
      <c r="P511" s="17"/>
      <c r="Q511" s="17"/>
      <c r="U511" t="s">
        <v>492</v>
      </c>
      <c r="V511" t="s">
        <v>492</v>
      </c>
      <c r="X511" s="31">
        <v>44230</v>
      </c>
      <c r="Y511" s="31">
        <v>44230</v>
      </c>
      <c r="AA511" s="31"/>
      <c r="AB511" t="s">
        <v>9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1</v>
      </c>
      <c r="AI511">
        <v>50020</v>
      </c>
      <c r="AJ511">
        <v>2111</v>
      </c>
      <c r="AK511">
        <v>0</v>
      </c>
      <c r="AL511">
        <v>19</v>
      </c>
      <c r="AO511" s="41"/>
      <c r="AP511" s="41"/>
      <c r="AQ511" t="str">
        <f t="shared" si="14"/>
        <v/>
      </c>
      <c r="AS511" t="str">
        <f t="shared" si="15"/>
        <v>wci_corp</v>
      </c>
    </row>
    <row r="512" spans="2:45" x14ac:dyDescent="0.2">
      <c r="B512" t="s">
        <v>202</v>
      </c>
      <c r="C512" s="31">
        <v>44227</v>
      </c>
      <c r="D512" s="15">
        <v>3367.36</v>
      </c>
      <c r="E512" s="15">
        <v>0</v>
      </c>
      <c r="F512" s="53" t="s">
        <v>134</v>
      </c>
      <c r="G512" t="s">
        <v>489</v>
      </c>
      <c r="H512" s="41" t="s">
        <v>136</v>
      </c>
      <c r="I512" t="s">
        <v>490</v>
      </c>
      <c r="J512" t="s">
        <v>190</v>
      </c>
      <c r="K512" t="s">
        <v>139</v>
      </c>
      <c r="L512" s="17"/>
      <c r="M512" s="17"/>
      <c r="N512" s="17" t="s">
        <v>491</v>
      </c>
      <c r="O512" s="36"/>
      <c r="P512" s="17"/>
      <c r="Q512" s="17"/>
      <c r="U512" t="s">
        <v>492</v>
      </c>
      <c r="V512" t="s">
        <v>492</v>
      </c>
      <c r="X512" s="31">
        <v>44230</v>
      </c>
      <c r="Y512" s="31">
        <v>44230</v>
      </c>
      <c r="AA512" s="31"/>
      <c r="AB512" t="s">
        <v>9</v>
      </c>
      <c r="AC512">
        <v>0</v>
      </c>
      <c r="AD512">
        <v>0</v>
      </c>
      <c r="AE512">
        <v>0</v>
      </c>
      <c r="AF512">
        <v>0</v>
      </c>
      <c r="AG512">
        <v>0</v>
      </c>
      <c r="AH512">
        <v>1</v>
      </c>
      <c r="AI512">
        <v>50020</v>
      </c>
      <c r="AJ512">
        <v>2111</v>
      </c>
      <c r="AK512">
        <v>0</v>
      </c>
      <c r="AL512">
        <v>19</v>
      </c>
      <c r="AO512" s="41"/>
      <c r="AP512" s="41"/>
      <c r="AQ512" t="str">
        <f t="shared" si="14"/>
        <v/>
      </c>
      <c r="AS512" t="str">
        <f t="shared" si="15"/>
        <v>wci_corp</v>
      </c>
    </row>
    <row r="513" spans="2:45" x14ac:dyDescent="0.2">
      <c r="B513" t="s">
        <v>202</v>
      </c>
      <c r="C513" s="31">
        <v>44227</v>
      </c>
      <c r="D513" s="15">
        <v>216.32</v>
      </c>
      <c r="E513" s="15">
        <v>0</v>
      </c>
      <c r="F513" s="53" t="s">
        <v>134</v>
      </c>
      <c r="G513" t="s">
        <v>489</v>
      </c>
      <c r="H513" s="41" t="s">
        <v>136</v>
      </c>
      <c r="I513" t="s">
        <v>490</v>
      </c>
      <c r="J513" t="s">
        <v>190</v>
      </c>
      <c r="K513" t="s">
        <v>139</v>
      </c>
      <c r="L513" s="17"/>
      <c r="M513" s="17"/>
      <c r="N513" s="17" t="s">
        <v>491</v>
      </c>
      <c r="O513" s="36"/>
      <c r="P513" s="17"/>
      <c r="Q513" s="17"/>
      <c r="U513" t="s">
        <v>492</v>
      </c>
      <c r="V513" t="s">
        <v>492</v>
      </c>
      <c r="X513" s="31">
        <v>44230</v>
      </c>
      <c r="Y513" s="31">
        <v>44230</v>
      </c>
      <c r="AA513" s="31"/>
      <c r="AB513" t="s">
        <v>9</v>
      </c>
      <c r="AC513">
        <v>0</v>
      </c>
      <c r="AD513">
        <v>0</v>
      </c>
      <c r="AE513">
        <v>0</v>
      </c>
      <c r="AF513">
        <v>0</v>
      </c>
      <c r="AG513">
        <v>0</v>
      </c>
      <c r="AH513">
        <v>1</v>
      </c>
      <c r="AI513">
        <v>50020</v>
      </c>
      <c r="AJ513">
        <v>2111</v>
      </c>
      <c r="AK513">
        <v>0</v>
      </c>
      <c r="AL513">
        <v>19</v>
      </c>
      <c r="AO513" s="41"/>
      <c r="AP513" s="41"/>
      <c r="AQ513" t="str">
        <f t="shared" si="14"/>
        <v/>
      </c>
      <c r="AS513" t="str">
        <f t="shared" si="15"/>
        <v>wci_corp</v>
      </c>
    </row>
    <row r="514" spans="2:45" x14ac:dyDescent="0.2">
      <c r="B514" t="s">
        <v>207</v>
      </c>
      <c r="C514" s="31">
        <v>44227</v>
      </c>
      <c r="D514" s="15">
        <v>227.6</v>
      </c>
      <c r="E514" s="15">
        <v>0</v>
      </c>
      <c r="F514" s="53" t="s">
        <v>134</v>
      </c>
      <c r="G514" t="s">
        <v>489</v>
      </c>
      <c r="H514" s="41" t="s">
        <v>136</v>
      </c>
      <c r="I514" t="s">
        <v>490</v>
      </c>
      <c r="J514" t="s">
        <v>190</v>
      </c>
      <c r="K514" t="s">
        <v>139</v>
      </c>
      <c r="L514" s="17"/>
      <c r="M514" s="17"/>
      <c r="N514" s="17" t="s">
        <v>491</v>
      </c>
      <c r="O514" s="36"/>
      <c r="P514" s="17"/>
      <c r="Q514" s="17"/>
      <c r="U514" t="s">
        <v>492</v>
      </c>
      <c r="V514" t="s">
        <v>492</v>
      </c>
      <c r="X514" s="31">
        <v>44230</v>
      </c>
      <c r="Y514" s="31">
        <v>44230</v>
      </c>
      <c r="AA514" s="31"/>
      <c r="AB514" t="s">
        <v>9</v>
      </c>
      <c r="AC514">
        <v>0</v>
      </c>
      <c r="AD514">
        <v>0</v>
      </c>
      <c r="AE514">
        <v>0</v>
      </c>
      <c r="AF514">
        <v>0</v>
      </c>
      <c r="AG514">
        <v>0</v>
      </c>
      <c r="AH514">
        <v>1</v>
      </c>
      <c r="AI514">
        <v>52020</v>
      </c>
      <c r="AJ514">
        <v>2111</v>
      </c>
      <c r="AK514">
        <v>0</v>
      </c>
      <c r="AL514">
        <v>19</v>
      </c>
      <c r="AO514" s="41"/>
      <c r="AP514" s="41"/>
      <c r="AQ514" t="str">
        <f t="shared" si="14"/>
        <v/>
      </c>
      <c r="AS514" t="str">
        <f t="shared" si="15"/>
        <v>wci_corp</v>
      </c>
    </row>
    <row r="515" spans="2:45" x14ac:dyDescent="0.2">
      <c r="B515" t="s">
        <v>418</v>
      </c>
      <c r="C515" s="31">
        <v>44227</v>
      </c>
      <c r="D515" s="15">
        <v>590.16</v>
      </c>
      <c r="E515" s="15">
        <v>0</v>
      </c>
      <c r="F515" s="53" t="s">
        <v>134</v>
      </c>
      <c r="G515" t="s">
        <v>489</v>
      </c>
      <c r="H515" s="41" t="s">
        <v>136</v>
      </c>
      <c r="I515" t="s">
        <v>490</v>
      </c>
      <c r="J515" t="s">
        <v>190</v>
      </c>
      <c r="K515" t="s">
        <v>139</v>
      </c>
      <c r="L515" s="17"/>
      <c r="M515" s="17"/>
      <c r="N515" s="17" t="s">
        <v>491</v>
      </c>
      <c r="O515" s="36"/>
      <c r="P515" s="17"/>
      <c r="Q515" s="17"/>
      <c r="U515" t="s">
        <v>492</v>
      </c>
      <c r="V515" t="s">
        <v>492</v>
      </c>
      <c r="X515" s="31">
        <v>44230</v>
      </c>
      <c r="Y515" s="31">
        <v>44230</v>
      </c>
      <c r="AA515" s="31"/>
      <c r="AB515" t="s">
        <v>9</v>
      </c>
      <c r="AC515">
        <v>0</v>
      </c>
      <c r="AD515">
        <v>0</v>
      </c>
      <c r="AE515">
        <v>0</v>
      </c>
      <c r="AF515">
        <v>0</v>
      </c>
      <c r="AG515">
        <v>0</v>
      </c>
      <c r="AH515">
        <v>1</v>
      </c>
      <c r="AI515">
        <v>55020</v>
      </c>
      <c r="AJ515">
        <v>2111</v>
      </c>
      <c r="AK515">
        <v>0</v>
      </c>
      <c r="AL515">
        <v>19</v>
      </c>
      <c r="AO515" s="41"/>
      <c r="AP515" s="41"/>
      <c r="AQ515" t="str">
        <f t="shared" si="14"/>
        <v/>
      </c>
      <c r="AS515" t="str">
        <f t="shared" si="15"/>
        <v>wci_corp</v>
      </c>
    </row>
    <row r="516" spans="2:45" x14ac:dyDescent="0.2">
      <c r="B516" t="s">
        <v>457</v>
      </c>
      <c r="C516" s="31">
        <v>44227</v>
      </c>
      <c r="D516" s="15">
        <v>680</v>
      </c>
      <c r="E516" s="15">
        <v>0</v>
      </c>
      <c r="F516" s="53" t="s">
        <v>134</v>
      </c>
      <c r="G516" t="s">
        <v>489</v>
      </c>
      <c r="H516" s="41" t="s">
        <v>136</v>
      </c>
      <c r="I516" t="s">
        <v>490</v>
      </c>
      <c r="J516" t="s">
        <v>190</v>
      </c>
      <c r="K516" t="s">
        <v>139</v>
      </c>
      <c r="L516" s="17"/>
      <c r="M516" s="17"/>
      <c r="N516" s="17" t="s">
        <v>491</v>
      </c>
      <c r="O516" s="36"/>
      <c r="P516" s="17"/>
      <c r="Q516" s="17"/>
      <c r="U516" t="s">
        <v>492</v>
      </c>
      <c r="V516" t="s">
        <v>492</v>
      </c>
      <c r="X516" s="31">
        <v>44230</v>
      </c>
      <c r="Y516" s="31">
        <v>44230</v>
      </c>
      <c r="AA516" s="31"/>
      <c r="AB516" t="s">
        <v>9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1</v>
      </c>
      <c r="AI516">
        <v>70020</v>
      </c>
      <c r="AJ516">
        <v>2111</v>
      </c>
      <c r="AK516">
        <v>0</v>
      </c>
      <c r="AL516">
        <v>19</v>
      </c>
      <c r="AO516" s="41"/>
      <c r="AP516" s="41"/>
      <c r="AQ516" t="str">
        <f t="shared" si="14"/>
        <v/>
      </c>
      <c r="AS516" t="str">
        <f t="shared" si="15"/>
        <v>wci_corp</v>
      </c>
    </row>
    <row r="517" spans="2:45" x14ac:dyDescent="0.2">
      <c r="B517" t="s">
        <v>142</v>
      </c>
      <c r="C517" s="31">
        <v>44227</v>
      </c>
      <c r="D517" s="15">
        <v>725</v>
      </c>
      <c r="E517" s="15">
        <v>0</v>
      </c>
      <c r="F517" s="53" t="s">
        <v>134</v>
      </c>
      <c r="G517" t="s">
        <v>489</v>
      </c>
      <c r="H517" s="41" t="s">
        <v>136</v>
      </c>
      <c r="I517" t="s">
        <v>490</v>
      </c>
      <c r="J517" t="s">
        <v>190</v>
      </c>
      <c r="K517" t="s">
        <v>139</v>
      </c>
      <c r="L517" s="17"/>
      <c r="M517" s="17"/>
      <c r="N517" s="17" t="s">
        <v>493</v>
      </c>
      <c r="O517" s="36"/>
      <c r="P517" s="17"/>
      <c r="Q517" s="17"/>
      <c r="U517" t="s">
        <v>492</v>
      </c>
      <c r="V517" t="s">
        <v>492</v>
      </c>
      <c r="X517" s="31">
        <v>44230</v>
      </c>
      <c r="Y517" s="31">
        <v>44230</v>
      </c>
      <c r="AA517" s="31"/>
      <c r="AB517" t="s">
        <v>9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1</v>
      </c>
      <c r="AI517">
        <v>70165</v>
      </c>
      <c r="AJ517">
        <v>2111</v>
      </c>
      <c r="AK517">
        <v>0</v>
      </c>
      <c r="AL517">
        <v>19</v>
      </c>
      <c r="AO517" s="41"/>
      <c r="AP517" s="41"/>
      <c r="AQ517" t="str">
        <f t="shared" si="14"/>
        <v/>
      </c>
      <c r="AS517" t="str">
        <f t="shared" si="15"/>
        <v>wci_corp</v>
      </c>
    </row>
    <row r="518" spans="2:45" x14ac:dyDescent="0.2">
      <c r="B518" t="s">
        <v>142</v>
      </c>
      <c r="C518" s="31">
        <v>44227</v>
      </c>
      <c r="D518" s="15">
        <v>25</v>
      </c>
      <c r="E518" s="15">
        <v>0</v>
      </c>
      <c r="F518" s="53" t="s">
        <v>134</v>
      </c>
      <c r="G518" t="s">
        <v>489</v>
      </c>
      <c r="H518" s="41" t="s">
        <v>136</v>
      </c>
      <c r="I518" t="s">
        <v>490</v>
      </c>
      <c r="J518" t="s">
        <v>190</v>
      </c>
      <c r="K518" t="s">
        <v>139</v>
      </c>
      <c r="L518" s="17"/>
      <c r="M518" s="17"/>
      <c r="N518" s="17" t="s">
        <v>493</v>
      </c>
      <c r="O518" s="36"/>
      <c r="P518" s="17"/>
      <c r="Q518" s="17"/>
      <c r="U518" t="s">
        <v>492</v>
      </c>
      <c r="V518" t="s">
        <v>492</v>
      </c>
      <c r="X518" s="31">
        <v>44230</v>
      </c>
      <c r="Y518" s="31">
        <v>44230</v>
      </c>
      <c r="AA518" s="31"/>
      <c r="AB518" t="s">
        <v>9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1</v>
      </c>
      <c r="AI518">
        <v>70165</v>
      </c>
      <c r="AJ518">
        <v>2111</v>
      </c>
      <c r="AK518">
        <v>0</v>
      </c>
      <c r="AL518">
        <v>19</v>
      </c>
      <c r="AO518" s="41"/>
      <c r="AP518" s="41"/>
      <c r="AQ518" t="str">
        <f t="shared" si="14"/>
        <v/>
      </c>
      <c r="AS518" t="str">
        <f t="shared" si="15"/>
        <v>wci_corp</v>
      </c>
    </row>
    <row r="519" spans="2:45" x14ac:dyDescent="0.2">
      <c r="B519" t="s">
        <v>142</v>
      </c>
      <c r="C519" s="31">
        <v>44227</v>
      </c>
      <c r="D519" s="15">
        <v>25</v>
      </c>
      <c r="E519" s="15">
        <v>0</v>
      </c>
      <c r="F519" s="53" t="s">
        <v>134</v>
      </c>
      <c r="G519" t="s">
        <v>489</v>
      </c>
      <c r="H519" s="41" t="s">
        <v>136</v>
      </c>
      <c r="I519" t="s">
        <v>490</v>
      </c>
      <c r="J519" t="s">
        <v>190</v>
      </c>
      <c r="K519" t="s">
        <v>139</v>
      </c>
      <c r="L519" s="17"/>
      <c r="M519" s="17"/>
      <c r="N519" s="17" t="s">
        <v>493</v>
      </c>
      <c r="O519" s="36"/>
      <c r="P519" s="17"/>
      <c r="Q519" s="17"/>
      <c r="U519" t="s">
        <v>492</v>
      </c>
      <c r="V519" t="s">
        <v>492</v>
      </c>
      <c r="X519" s="31">
        <v>44230</v>
      </c>
      <c r="Y519" s="31">
        <v>44230</v>
      </c>
      <c r="AA519" s="31"/>
      <c r="AB519" t="s">
        <v>9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1</v>
      </c>
      <c r="AI519">
        <v>70165</v>
      </c>
      <c r="AJ519">
        <v>2111</v>
      </c>
      <c r="AK519">
        <v>0</v>
      </c>
      <c r="AL519">
        <v>19</v>
      </c>
      <c r="AO519" s="41"/>
      <c r="AP519" s="41"/>
      <c r="AQ519" t="str">
        <f t="shared" si="14"/>
        <v/>
      </c>
      <c r="AS519" t="str">
        <f t="shared" si="15"/>
        <v>wci_corp</v>
      </c>
    </row>
    <row r="520" spans="2:45" x14ac:dyDescent="0.2">
      <c r="B520" t="s">
        <v>202</v>
      </c>
      <c r="C520" s="31">
        <v>44227</v>
      </c>
      <c r="D520" s="15">
        <v>1521.12</v>
      </c>
      <c r="E520" s="15">
        <v>0</v>
      </c>
      <c r="F520" s="53" t="s">
        <v>134</v>
      </c>
      <c r="G520" t="s">
        <v>494</v>
      </c>
      <c r="H520" s="41" t="s">
        <v>136</v>
      </c>
      <c r="I520" t="s">
        <v>495</v>
      </c>
      <c r="J520" t="s">
        <v>190</v>
      </c>
      <c r="K520" t="s">
        <v>139</v>
      </c>
      <c r="L520" s="17"/>
      <c r="M520" s="17"/>
      <c r="N520" s="17" t="s">
        <v>496</v>
      </c>
      <c r="O520" s="36"/>
      <c r="P520" s="17"/>
      <c r="Q520" s="17"/>
      <c r="U520" t="s">
        <v>497</v>
      </c>
      <c r="V520" t="s">
        <v>497</v>
      </c>
      <c r="X520" s="31">
        <v>44231</v>
      </c>
      <c r="Y520" s="31">
        <v>44231</v>
      </c>
      <c r="AA520" s="31"/>
      <c r="AB520" t="s">
        <v>9</v>
      </c>
      <c r="AC520">
        <v>0</v>
      </c>
      <c r="AD520">
        <v>0</v>
      </c>
      <c r="AE520">
        <v>0</v>
      </c>
      <c r="AF520">
        <v>0</v>
      </c>
      <c r="AG520">
        <v>0</v>
      </c>
      <c r="AH520">
        <v>1</v>
      </c>
      <c r="AI520">
        <v>50020</v>
      </c>
      <c r="AJ520">
        <v>2111</v>
      </c>
      <c r="AK520">
        <v>0</v>
      </c>
      <c r="AL520">
        <v>19</v>
      </c>
      <c r="AO520" s="41"/>
      <c r="AP520" s="41"/>
      <c r="AQ520" t="str">
        <f t="shared" si="14"/>
        <v/>
      </c>
      <c r="AS520" t="str">
        <f t="shared" si="15"/>
        <v>wci_corp</v>
      </c>
    </row>
    <row r="521" spans="2:45" x14ac:dyDescent="0.2">
      <c r="B521" t="s">
        <v>202</v>
      </c>
      <c r="C521" s="31">
        <v>44227</v>
      </c>
      <c r="D521" s="15">
        <v>2166.7199999999998</v>
      </c>
      <c r="E521" s="15">
        <v>0</v>
      </c>
      <c r="F521" s="53" t="s">
        <v>134</v>
      </c>
      <c r="G521" t="s">
        <v>494</v>
      </c>
      <c r="H521" s="41" t="s">
        <v>136</v>
      </c>
      <c r="I521" t="s">
        <v>495</v>
      </c>
      <c r="J521" t="s">
        <v>190</v>
      </c>
      <c r="K521" t="s">
        <v>139</v>
      </c>
      <c r="L521" s="17"/>
      <c r="M521" s="17"/>
      <c r="N521" s="17" t="s">
        <v>496</v>
      </c>
      <c r="O521" s="36"/>
      <c r="P521" s="17"/>
      <c r="Q521" s="17"/>
      <c r="U521" t="s">
        <v>497</v>
      </c>
      <c r="V521" t="s">
        <v>497</v>
      </c>
      <c r="X521" s="31">
        <v>44231</v>
      </c>
      <c r="Y521" s="31">
        <v>44231</v>
      </c>
      <c r="AA521" s="31"/>
      <c r="AB521" t="s">
        <v>9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1</v>
      </c>
      <c r="AI521">
        <v>50020</v>
      </c>
      <c r="AJ521">
        <v>2111</v>
      </c>
      <c r="AK521">
        <v>0</v>
      </c>
      <c r="AL521">
        <v>19</v>
      </c>
      <c r="AO521" s="41"/>
      <c r="AP521" s="41"/>
      <c r="AQ521" t="str">
        <f t="shared" si="14"/>
        <v/>
      </c>
      <c r="AS521" t="str">
        <f t="shared" si="15"/>
        <v>wci_corp</v>
      </c>
    </row>
    <row r="522" spans="2:45" x14ac:dyDescent="0.2">
      <c r="B522" t="s">
        <v>202</v>
      </c>
      <c r="C522" s="31">
        <v>44227</v>
      </c>
      <c r="D522" s="15">
        <v>518.08000000000004</v>
      </c>
      <c r="E522" s="15">
        <v>0</v>
      </c>
      <c r="F522" s="53" t="s">
        <v>134</v>
      </c>
      <c r="G522" t="s">
        <v>494</v>
      </c>
      <c r="H522" s="41" t="s">
        <v>136</v>
      </c>
      <c r="I522" t="s">
        <v>495</v>
      </c>
      <c r="J522" t="s">
        <v>190</v>
      </c>
      <c r="K522" t="s">
        <v>139</v>
      </c>
      <c r="L522" s="17"/>
      <c r="M522" s="17"/>
      <c r="N522" s="17" t="s">
        <v>496</v>
      </c>
      <c r="O522" s="36"/>
      <c r="P522" s="17"/>
      <c r="Q522" s="17"/>
      <c r="U522" t="s">
        <v>497</v>
      </c>
      <c r="V522" t="s">
        <v>497</v>
      </c>
      <c r="X522" s="31">
        <v>44231</v>
      </c>
      <c r="Y522" s="31">
        <v>44231</v>
      </c>
      <c r="AA522" s="31"/>
      <c r="AB522" t="s">
        <v>9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1</v>
      </c>
      <c r="AI522">
        <v>50020</v>
      </c>
      <c r="AJ522">
        <v>2111</v>
      </c>
      <c r="AK522">
        <v>0</v>
      </c>
      <c r="AL522">
        <v>19</v>
      </c>
      <c r="AO522" s="41"/>
      <c r="AP522" s="41"/>
      <c r="AQ522" t="str">
        <f t="shared" si="14"/>
        <v/>
      </c>
      <c r="AS522" t="str">
        <f t="shared" si="15"/>
        <v>wci_corp</v>
      </c>
    </row>
    <row r="523" spans="2:45" x14ac:dyDescent="0.2">
      <c r="B523" t="s">
        <v>142</v>
      </c>
      <c r="C523" s="31">
        <v>44227</v>
      </c>
      <c r="D523" s="15">
        <v>725</v>
      </c>
      <c r="E523" s="15">
        <v>0</v>
      </c>
      <c r="F523" s="53" t="s">
        <v>134</v>
      </c>
      <c r="G523" t="s">
        <v>494</v>
      </c>
      <c r="H523" s="41" t="s">
        <v>136</v>
      </c>
      <c r="I523" t="s">
        <v>495</v>
      </c>
      <c r="J523" t="s">
        <v>190</v>
      </c>
      <c r="K523" t="s">
        <v>139</v>
      </c>
      <c r="L523" s="17"/>
      <c r="M523" s="17"/>
      <c r="N523" s="17" t="s">
        <v>498</v>
      </c>
      <c r="O523" s="36"/>
      <c r="P523" s="17"/>
      <c r="Q523" s="17"/>
      <c r="U523" t="s">
        <v>497</v>
      </c>
      <c r="V523" t="s">
        <v>497</v>
      </c>
      <c r="X523" s="31">
        <v>44231</v>
      </c>
      <c r="Y523" s="31">
        <v>44231</v>
      </c>
      <c r="AA523" s="31"/>
      <c r="AB523" t="s">
        <v>9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1</v>
      </c>
      <c r="AI523">
        <v>70165</v>
      </c>
      <c r="AJ523">
        <v>2111</v>
      </c>
      <c r="AK523">
        <v>0</v>
      </c>
      <c r="AL523">
        <v>19</v>
      </c>
      <c r="AO523" s="41"/>
      <c r="AP523" s="41"/>
      <c r="AQ523" t="str">
        <f t="shared" si="14"/>
        <v/>
      </c>
      <c r="AS523" t="str">
        <f t="shared" si="15"/>
        <v>wci_corp</v>
      </c>
    </row>
    <row r="524" spans="2:45" x14ac:dyDescent="0.2">
      <c r="B524" t="s">
        <v>142</v>
      </c>
      <c r="C524" s="31">
        <v>44227</v>
      </c>
      <c r="D524" s="15">
        <v>25</v>
      </c>
      <c r="E524" s="15">
        <v>0</v>
      </c>
      <c r="F524" s="53" t="s">
        <v>134</v>
      </c>
      <c r="G524" t="s">
        <v>494</v>
      </c>
      <c r="H524" s="41" t="s">
        <v>136</v>
      </c>
      <c r="I524" t="s">
        <v>495</v>
      </c>
      <c r="J524" t="s">
        <v>190</v>
      </c>
      <c r="K524" t="s">
        <v>139</v>
      </c>
      <c r="L524" s="17"/>
      <c r="M524" s="17"/>
      <c r="N524" s="17" t="s">
        <v>498</v>
      </c>
      <c r="O524" s="36"/>
      <c r="P524" s="17"/>
      <c r="Q524" s="17"/>
      <c r="U524" t="s">
        <v>497</v>
      </c>
      <c r="V524" t="s">
        <v>497</v>
      </c>
      <c r="X524" s="31">
        <v>44231</v>
      </c>
      <c r="Y524" s="31">
        <v>44231</v>
      </c>
      <c r="AA524" s="31"/>
      <c r="AB524" t="s">
        <v>9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1</v>
      </c>
      <c r="AI524">
        <v>70165</v>
      </c>
      <c r="AJ524">
        <v>2111</v>
      </c>
      <c r="AK524">
        <v>0</v>
      </c>
      <c r="AL524">
        <v>19</v>
      </c>
      <c r="AO524" s="41"/>
      <c r="AP524" s="41"/>
      <c r="AQ524" t="str">
        <f t="shared" si="14"/>
        <v/>
      </c>
      <c r="AS524" t="str">
        <f t="shared" si="15"/>
        <v>wci_corp</v>
      </c>
    </row>
    <row r="525" spans="2:45" x14ac:dyDescent="0.2">
      <c r="B525" t="s">
        <v>142</v>
      </c>
      <c r="C525" s="31">
        <v>44227</v>
      </c>
      <c r="D525" s="15">
        <v>25</v>
      </c>
      <c r="E525" s="15">
        <v>0</v>
      </c>
      <c r="F525" s="53" t="s">
        <v>134</v>
      </c>
      <c r="G525" t="s">
        <v>494</v>
      </c>
      <c r="H525" s="41" t="s">
        <v>136</v>
      </c>
      <c r="I525" t="s">
        <v>495</v>
      </c>
      <c r="J525" t="s">
        <v>190</v>
      </c>
      <c r="K525" t="s">
        <v>139</v>
      </c>
      <c r="L525" s="17"/>
      <c r="M525" s="17"/>
      <c r="N525" s="17" t="s">
        <v>498</v>
      </c>
      <c r="O525" s="36"/>
      <c r="P525" s="17"/>
      <c r="Q525" s="17"/>
      <c r="U525" t="s">
        <v>497</v>
      </c>
      <c r="V525" t="s">
        <v>497</v>
      </c>
      <c r="X525" s="31">
        <v>44231</v>
      </c>
      <c r="Y525" s="31">
        <v>44231</v>
      </c>
      <c r="AA525" s="31"/>
      <c r="AB525" t="s">
        <v>9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1</v>
      </c>
      <c r="AI525">
        <v>70165</v>
      </c>
      <c r="AJ525">
        <v>2111</v>
      </c>
      <c r="AK525">
        <v>0</v>
      </c>
      <c r="AL525">
        <v>19</v>
      </c>
      <c r="AO525" s="41"/>
      <c r="AP525" s="41"/>
      <c r="AQ525" t="str">
        <f t="shared" si="14"/>
        <v/>
      </c>
      <c r="AS525" t="str">
        <f t="shared" si="15"/>
        <v>wci_corp</v>
      </c>
    </row>
    <row r="526" spans="2:45" x14ac:dyDescent="0.2">
      <c r="B526" t="s">
        <v>202</v>
      </c>
      <c r="C526" s="31">
        <v>44227</v>
      </c>
      <c r="D526" s="15">
        <v>1060</v>
      </c>
      <c r="E526" s="15">
        <v>0</v>
      </c>
      <c r="F526" s="53" t="s">
        <v>134</v>
      </c>
      <c r="G526" t="s">
        <v>499</v>
      </c>
      <c r="H526" s="41" t="s">
        <v>136</v>
      </c>
      <c r="I526" t="s">
        <v>500</v>
      </c>
      <c r="J526" t="s">
        <v>190</v>
      </c>
      <c r="K526" t="s">
        <v>139</v>
      </c>
      <c r="L526" s="17"/>
      <c r="M526" s="17"/>
      <c r="N526" s="17" t="s">
        <v>501</v>
      </c>
      <c r="O526" s="36"/>
      <c r="P526" s="17"/>
      <c r="Q526" s="17"/>
      <c r="U526" t="s">
        <v>502</v>
      </c>
      <c r="V526" t="s">
        <v>502</v>
      </c>
      <c r="X526" s="31">
        <v>44231</v>
      </c>
      <c r="Y526" s="31">
        <v>44231</v>
      </c>
      <c r="AA526" s="31"/>
      <c r="AB526" t="s">
        <v>9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1</v>
      </c>
      <c r="AI526">
        <v>50020</v>
      </c>
      <c r="AJ526">
        <v>2111</v>
      </c>
      <c r="AK526">
        <v>0</v>
      </c>
      <c r="AL526">
        <v>19</v>
      </c>
      <c r="AO526" s="41"/>
      <c r="AP526" s="41"/>
      <c r="AQ526" t="str">
        <f t="shared" si="14"/>
        <v/>
      </c>
      <c r="AS526" t="str">
        <f t="shared" si="15"/>
        <v>wci_corp</v>
      </c>
    </row>
    <row r="527" spans="2:45" x14ac:dyDescent="0.2">
      <c r="B527" t="s">
        <v>457</v>
      </c>
      <c r="C527" s="31">
        <v>44227</v>
      </c>
      <c r="D527" s="15">
        <v>228.85</v>
      </c>
      <c r="E527" s="15">
        <v>0</v>
      </c>
      <c r="F527" s="53" t="s">
        <v>134</v>
      </c>
      <c r="G527" t="s">
        <v>499</v>
      </c>
      <c r="H527" s="41" t="s">
        <v>136</v>
      </c>
      <c r="I527" t="s">
        <v>500</v>
      </c>
      <c r="J527" t="s">
        <v>190</v>
      </c>
      <c r="K527" t="s">
        <v>139</v>
      </c>
      <c r="L527" s="17"/>
      <c r="M527" s="17"/>
      <c r="N527" s="17" t="s">
        <v>501</v>
      </c>
      <c r="O527" s="36"/>
      <c r="P527" s="17"/>
      <c r="Q527" s="17"/>
      <c r="U527" t="s">
        <v>502</v>
      </c>
      <c r="V527" t="s">
        <v>502</v>
      </c>
      <c r="X527" s="31">
        <v>44231</v>
      </c>
      <c r="Y527" s="31">
        <v>44231</v>
      </c>
      <c r="AA527" s="31"/>
      <c r="AB527" t="s">
        <v>9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1</v>
      </c>
      <c r="AI527">
        <v>70020</v>
      </c>
      <c r="AJ527">
        <v>2111</v>
      </c>
      <c r="AK527">
        <v>0</v>
      </c>
      <c r="AL527">
        <v>19</v>
      </c>
      <c r="AO527" s="41"/>
      <c r="AP527" s="41"/>
      <c r="AQ527" t="str">
        <f t="shared" si="14"/>
        <v/>
      </c>
      <c r="AS527" t="str">
        <f t="shared" si="15"/>
        <v>wci_corp</v>
      </c>
    </row>
    <row r="528" spans="2:45" x14ac:dyDescent="0.2">
      <c r="B528" t="s">
        <v>202</v>
      </c>
      <c r="C528" s="31">
        <v>44255</v>
      </c>
      <c r="D528" s="15">
        <v>-1060</v>
      </c>
      <c r="E528" s="15">
        <v>0</v>
      </c>
      <c r="F528" s="53" t="s">
        <v>134</v>
      </c>
      <c r="G528" t="s">
        <v>503</v>
      </c>
      <c r="H528" s="41" t="s">
        <v>136</v>
      </c>
      <c r="I528" t="s">
        <v>500</v>
      </c>
      <c r="J528" t="s">
        <v>173</v>
      </c>
      <c r="K528" t="s">
        <v>139</v>
      </c>
      <c r="L528" s="17"/>
      <c r="M528" s="17"/>
      <c r="N528" s="17" t="s">
        <v>501</v>
      </c>
      <c r="O528" s="36"/>
      <c r="P528" s="17"/>
      <c r="Q528" s="17"/>
      <c r="U528" t="s">
        <v>502</v>
      </c>
      <c r="V528" t="s">
        <v>504</v>
      </c>
      <c r="X528" s="31">
        <v>44231</v>
      </c>
      <c r="Y528" s="31">
        <v>44231</v>
      </c>
      <c r="AA528" s="31"/>
      <c r="AB528" t="s">
        <v>9</v>
      </c>
      <c r="AC528">
        <v>0</v>
      </c>
      <c r="AD528">
        <v>0</v>
      </c>
      <c r="AE528">
        <v>0</v>
      </c>
      <c r="AF528">
        <v>0</v>
      </c>
      <c r="AG528">
        <v>5</v>
      </c>
      <c r="AH528">
        <v>1</v>
      </c>
      <c r="AI528">
        <v>50020</v>
      </c>
      <c r="AJ528">
        <v>2111</v>
      </c>
      <c r="AK528">
        <v>0</v>
      </c>
      <c r="AL528">
        <v>19</v>
      </c>
      <c r="AO528" s="41"/>
      <c r="AP528" s="41"/>
      <c r="AQ528" t="str">
        <f t="shared" si="14"/>
        <v/>
      </c>
      <c r="AS528" t="str">
        <f t="shared" si="15"/>
        <v>wci_corp</v>
      </c>
    </row>
    <row r="529" spans="2:45" x14ac:dyDescent="0.2">
      <c r="B529" t="s">
        <v>457</v>
      </c>
      <c r="C529" s="31">
        <v>44255</v>
      </c>
      <c r="D529" s="15">
        <v>-228.85</v>
      </c>
      <c r="E529" s="15">
        <v>0</v>
      </c>
      <c r="F529" s="53" t="s">
        <v>134</v>
      </c>
      <c r="G529" t="s">
        <v>503</v>
      </c>
      <c r="H529" s="41" t="s">
        <v>136</v>
      </c>
      <c r="I529" t="s">
        <v>500</v>
      </c>
      <c r="J529" t="s">
        <v>173</v>
      </c>
      <c r="K529" t="s">
        <v>139</v>
      </c>
      <c r="L529" s="17"/>
      <c r="M529" s="17"/>
      <c r="N529" s="17" t="s">
        <v>501</v>
      </c>
      <c r="O529" s="36"/>
      <c r="P529" s="17"/>
      <c r="Q529" s="17"/>
      <c r="U529" t="s">
        <v>502</v>
      </c>
      <c r="V529" t="s">
        <v>504</v>
      </c>
      <c r="X529" s="31">
        <v>44231</v>
      </c>
      <c r="Y529" s="31">
        <v>44231</v>
      </c>
      <c r="AA529" s="31"/>
      <c r="AB529" t="s">
        <v>9</v>
      </c>
      <c r="AC529">
        <v>0</v>
      </c>
      <c r="AD529">
        <v>0</v>
      </c>
      <c r="AE529">
        <v>0</v>
      </c>
      <c r="AF529">
        <v>0</v>
      </c>
      <c r="AG529">
        <v>5</v>
      </c>
      <c r="AH529">
        <v>1</v>
      </c>
      <c r="AI529">
        <v>70020</v>
      </c>
      <c r="AJ529">
        <v>2111</v>
      </c>
      <c r="AK529">
        <v>0</v>
      </c>
      <c r="AL529">
        <v>19</v>
      </c>
      <c r="AO529" s="41"/>
      <c r="AP529" s="41"/>
      <c r="AQ529" t="str">
        <f t="shared" si="14"/>
        <v/>
      </c>
      <c r="AS529" t="str">
        <f t="shared" si="15"/>
        <v>wci_corp</v>
      </c>
    </row>
    <row r="530" spans="2:45" x14ac:dyDescent="0.2">
      <c r="B530" t="s">
        <v>234</v>
      </c>
      <c r="C530" s="31">
        <v>44255</v>
      </c>
      <c r="D530" s="15">
        <v>1471.29</v>
      </c>
      <c r="E530" s="15">
        <v>0</v>
      </c>
      <c r="F530" s="53" t="s">
        <v>134</v>
      </c>
      <c r="G530" t="s">
        <v>505</v>
      </c>
      <c r="H530" s="41" t="s">
        <v>136</v>
      </c>
      <c r="I530" t="s">
        <v>506</v>
      </c>
      <c r="J530" t="s">
        <v>173</v>
      </c>
      <c r="K530" t="s">
        <v>139</v>
      </c>
      <c r="L530" s="17"/>
      <c r="M530" s="17"/>
      <c r="N530" s="17" t="s">
        <v>440</v>
      </c>
      <c r="O530" s="36"/>
      <c r="P530" s="17"/>
      <c r="Q530" s="17"/>
      <c r="U530" t="s">
        <v>507</v>
      </c>
      <c r="V530" t="s">
        <v>507</v>
      </c>
      <c r="X530" s="31">
        <v>44258</v>
      </c>
      <c r="Y530" s="31">
        <v>44258</v>
      </c>
      <c r="AA530" s="31"/>
      <c r="AB530" t="s">
        <v>9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1</v>
      </c>
      <c r="AI530">
        <v>52086</v>
      </c>
      <c r="AJ530">
        <v>2111</v>
      </c>
      <c r="AK530">
        <v>0</v>
      </c>
      <c r="AL530">
        <v>19</v>
      </c>
      <c r="AO530" s="41"/>
      <c r="AP530" s="41"/>
      <c r="AQ530" t="str">
        <f t="shared" si="14"/>
        <v/>
      </c>
      <c r="AS530" t="str">
        <f t="shared" si="15"/>
        <v>wci_corp</v>
      </c>
    </row>
    <row r="531" spans="2:45" x14ac:dyDescent="0.2">
      <c r="B531" t="s">
        <v>234</v>
      </c>
      <c r="C531" s="31">
        <v>44255</v>
      </c>
      <c r="D531" s="15">
        <v>202.99</v>
      </c>
      <c r="E531" s="15">
        <v>0</v>
      </c>
      <c r="F531" s="53" t="s">
        <v>134</v>
      </c>
      <c r="G531" t="s">
        <v>505</v>
      </c>
      <c r="H531" s="41" t="s">
        <v>136</v>
      </c>
      <c r="I531" t="s">
        <v>506</v>
      </c>
      <c r="J531" t="s">
        <v>173</v>
      </c>
      <c r="K531" t="s">
        <v>139</v>
      </c>
      <c r="L531" s="17"/>
      <c r="M531" s="17"/>
      <c r="N531" s="17" t="s">
        <v>440</v>
      </c>
      <c r="O531" s="36"/>
      <c r="P531" s="17"/>
      <c r="Q531" s="17"/>
      <c r="U531" t="s">
        <v>507</v>
      </c>
      <c r="V531" t="s">
        <v>507</v>
      </c>
      <c r="X531" s="31">
        <v>44258</v>
      </c>
      <c r="Y531" s="31">
        <v>44258</v>
      </c>
      <c r="AA531" s="31"/>
      <c r="AB531" t="s">
        <v>9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1</v>
      </c>
      <c r="AI531">
        <v>52086</v>
      </c>
      <c r="AJ531">
        <v>2111</v>
      </c>
      <c r="AK531">
        <v>0</v>
      </c>
      <c r="AL531">
        <v>19</v>
      </c>
      <c r="AO531" s="41"/>
      <c r="AP531" s="41"/>
      <c r="AQ531" t="str">
        <f t="shared" si="14"/>
        <v/>
      </c>
      <c r="AS531" t="str">
        <f t="shared" si="15"/>
        <v>wci_corp</v>
      </c>
    </row>
    <row r="532" spans="2:45" x14ac:dyDescent="0.2">
      <c r="B532" t="s">
        <v>202</v>
      </c>
      <c r="C532" s="31">
        <v>44255</v>
      </c>
      <c r="D532" s="15">
        <v>3620.48</v>
      </c>
      <c r="E532" s="15">
        <v>0</v>
      </c>
      <c r="F532" s="53" t="s">
        <v>134</v>
      </c>
      <c r="G532" t="s">
        <v>508</v>
      </c>
      <c r="H532" s="41" t="s">
        <v>136</v>
      </c>
      <c r="I532" t="s">
        <v>509</v>
      </c>
      <c r="J532" t="s">
        <v>190</v>
      </c>
      <c r="K532" t="s">
        <v>139</v>
      </c>
      <c r="L532" s="17"/>
      <c r="M532" s="17"/>
      <c r="N532" s="17" t="s">
        <v>510</v>
      </c>
      <c r="O532" s="36"/>
      <c r="P532" s="17"/>
      <c r="Q532" s="17"/>
      <c r="U532" t="s">
        <v>511</v>
      </c>
      <c r="V532" t="s">
        <v>511</v>
      </c>
      <c r="X532" s="31">
        <v>44259</v>
      </c>
      <c r="Y532" s="31">
        <v>44259</v>
      </c>
      <c r="AA532" s="31"/>
      <c r="AB532" t="s">
        <v>9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1</v>
      </c>
      <c r="AI532">
        <v>50020</v>
      </c>
      <c r="AJ532">
        <v>2111</v>
      </c>
      <c r="AK532">
        <v>0</v>
      </c>
      <c r="AL532">
        <v>19</v>
      </c>
      <c r="AO532" s="41"/>
      <c r="AP532" s="41"/>
      <c r="AQ532" t="str">
        <f t="shared" si="14"/>
        <v/>
      </c>
      <c r="AS532" t="str">
        <f t="shared" si="15"/>
        <v>wci_corp</v>
      </c>
    </row>
    <row r="533" spans="2:45" x14ac:dyDescent="0.2">
      <c r="B533" t="s">
        <v>457</v>
      </c>
      <c r="C533" s="31">
        <v>44255</v>
      </c>
      <c r="D533" s="15">
        <v>228.85</v>
      </c>
      <c r="E533" s="15">
        <v>0</v>
      </c>
      <c r="F533" s="53" t="s">
        <v>134</v>
      </c>
      <c r="G533" t="s">
        <v>508</v>
      </c>
      <c r="H533" s="41" t="s">
        <v>136</v>
      </c>
      <c r="I533" t="s">
        <v>509</v>
      </c>
      <c r="J533" t="s">
        <v>190</v>
      </c>
      <c r="K533" t="s">
        <v>139</v>
      </c>
      <c r="L533" s="17"/>
      <c r="M533" s="17"/>
      <c r="N533" s="17" t="s">
        <v>510</v>
      </c>
      <c r="O533" s="36"/>
      <c r="P533" s="17"/>
      <c r="Q533" s="17"/>
      <c r="U533" t="s">
        <v>511</v>
      </c>
      <c r="V533" t="s">
        <v>511</v>
      </c>
      <c r="X533" s="31">
        <v>44259</v>
      </c>
      <c r="Y533" s="31">
        <v>44259</v>
      </c>
      <c r="AA533" s="31"/>
      <c r="AB533" t="s">
        <v>9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1</v>
      </c>
      <c r="AI533">
        <v>70020</v>
      </c>
      <c r="AJ533">
        <v>2111</v>
      </c>
      <c r="AK533">
        <v>0</v>
      </c>
      <c r="AL533">
        <v>19</v>
      </c>
      <c r="AO533" s="41"/>
      <c r="AP533" s="41"/>
      <c r="AQ533" t="str">
        <f t="shared" ref="AQ533:AQ546" si="16">IF(LEFT(U533,2)="VO",U533,"")</f>
        <v/>
      </c>
      <c r="AS533" t="str">
        <f t="shared" ref="AS533:AS546" si="17">IF(RIGHT(K533,2)="IC",IF(OR(AB533="wci_canada",AB533="wci_can_corp"),"wci_can_Corp","wci_corp"),AB533)</f>
        <v>wci_corp</v>
      </c>
    </row>
    <row r="534" spans="2:45" x14ac:dyDescent="0.2">
      <c r="B534" t="s">
        <v>142</v>
      </c>
      <c r="C534" s="31">
        <v>44255</v>
      </c>
      <c r="D534" s="15">
        <v>775</v>
      </c>
      <c r="E534" s="15">
        <v>0</v>
      </c>
      <c r="F534" s="53" t="s">
        <v>134</v>
      </c>
      <c r="G534" t="s">
        <v>508</v>
      </c>
      <c r="H534" s="41" t="s">
        <v>136</v>
      </c>
      <c r="I534" t="s">
        <v>509</v>
      </c>
      <c r="J534" t="s">
        <v>190</v>
      </c>
      <c r="K534" t="s">
        <v>139</v>
      </c>
      <c r="L534" s="17"/>
      <c r="M534" s="17"/>
      <c r="N534" s="17" t="s">
        <v>512</v>
      </c>
      <c r="O534" s="36"/>
      <c r="P534" s="17"/>
      <c r="Q534" s="17"/>
      <c r="U534" t="s">
        <v>511</v>
      </c>
      <c r="V534" t="s">
        <v>511</v>
      </c>
      <c r="X534" s="31">
        <v>44259</v>
      </c>
      <c r="Y534" s="31">
        <v>44259</v>
      </c>
      <c r="AA534" s="31"/>
      <c r="AB534" t="s">
        <v>9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1</v>
      </c>
      <c r="AI534">
        <v>70165</v>
      </c>
      <c r="AJ534">
        <v>2111</v>
      </c>
      <c r="AK534">
        <v>0</v>
      </c>
      <c r="AL534">
        <v>19</v>
      </c>
      <c r="AO534" s="41"/>
      <c r="AP534" s="41"/>
      <c r="AQ534" t="str">
        <f t="shared" si="16"/>
        <v/>
      </c>
      <c r="AS534" t="str">
        <f t="shared" si="17"/>
        <v>wci_corp</v>
      </c>
    </row>
    <row r="535" spans="2:45" x14ac:dyDescent="0.2">
      <c r="B535" t="s">
        <v>142</v>
      </c>
      <c r="C535" s="31">
        <v>44255</v>
      </c>
      <c r="D535" s="15">
        <v>25</v>
      </c>
      <c r="E535" s="15">
        <v>0</v>
      </c>
      <c r="F535" s="53" t="s">
        <v>134</v>
      </c>
      <c r="G535" t="s">
        <v>508</v>
      </c>
      <c r="H535" s="41" t="s">
        <v>136</v>
      </c>
      <c r="I535" t="s">
        <v>509</v>
      </c>
      <c r="J535" t="s">
        <v>190</v>
      </c>
      <c r="K535" t="s">
        <v>139</v>
      </c>
      <c r="L535" s="17"/>
      <c r="M535" s="17"/>
      <c r="N535" s="17" t="s">
        <v>512</v>
      </c>
      <c r="O535" s="36"/>
      <c r="P535" s="17"/>
      <c r="Q535" s="17"/>
      <c r="U535" t="s">
        <v>511</v>
      </c>
      <c r="V535" t="s">
        <v>511</v>
      </c>
      <c r="X535" s="31">
        <v>44259</v>
      </c>
      <c r="Y535" s="31">
        <v>44259</v>
      </c>
      <c r="AA535" s="31"/>
      <c r="AB535" t="s">
        <v>9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1</v>
      </c>
      <c r="AI535">
        <v>70165</v>
      </c>
      <c r="AJ535">
        <v>2111</v>
      </c>
      <c r="AK535">
        <v>0</v>
      </c>
      <c r="AL535">
        <v>19</v>
      </c>
      <c r="AO535" s="41"/>
      <c r="AP535" s="41"/>
      <c r="AQ535" t="str">
        <f t="shared" si="16"/>
        <v/>
      </c>
      <c r="AS535" t="str">
        <f t="shared" si="17"/>
        <v>wci_corp</v>
      </c>
    </row>
    <row r="536" spans="2:45" x14ac:dyDescent="0.2">
      <c r="B536" t="s">
        <v>142</v>
      </c>
      <c r="C536" s="31">
        <v>44255</v>
      </c>
      <c r="D536" s="15">
        <v>25</v>
      </c>
      <c r="E536" s="15">
        <v>0</v>
      </c>
      <c r="F536" s="53" t="s">
        <v>134</v>
      </c>
      <c r="G536" t="s">
        <v>508</v>
      </c>
      <c r="H536" s="41" t="s">
        <v>136</v>
      </c>
      <c r="I536" t="s">
        <v>509</v>
      </c>
      <c r="J536" t="s">
        <v>190</v>
      </c>
      <c r="K536" t="s">
        <v>139</v>
      </c>
      <c r="L536" s="17"/>
      <c r="M536" s="17"/>
      <c r="N536" s="17" t="s">
        <v>512</v>
      </c>
      <c r="O536" s="36"/>
      <c r="P536" s="17"/>
      <c r="Q536" s="17"/>
      <c r="U536" t="s">
        <v>511</v>
      </c>
      <c r="V536" t="s">
        <v>511</v>
      </c>
      <c r="X536" s="31">
        <v>44259</v>
      </c>
      <c r="Y536" s="31">
        <v>44259</v>
      </c>
      <c r="AA536" s="31"/>
      <c r="AB536" t="s">
        <v>9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1</v>
      </c>
      <c r="AI536">
        <v>70165</v>
      </c>
      <c r="AJ536">
        <v>2111</v>
      </c>
      <c r="AK536">
        <v>0</v>
      </c>
      <c r="AL536">
        <v>19</v>
      </c>
      <c r="AO536" s="41"/>
      <c r="AP536" s="41"/>
      <c r="AQ536" t="str">
        <f t="shared" si="16"/>
        <v/>
      </c>
      <c r="AS536" t="str">
        <f t="shared" si="17"/>
        <v>wci_corp</v>
      </c>
    </row>
    <row r="537" spans="2:45" x14ac:dyDescent="0.2">
      <c r="B537" t="s">
        <v>202</v>
      </c>
      <c r="C537" s="31">
        <v>44255</v>
      </c>
      <c r="D537" s="15">
        <v>212</v>
      </c>
      <c r="E537" s="15">
        <v>0</v>
      </c>
      <c r="F537" s="53" t="s">
        <v>134</v>
      </c>
      <c r="G537" t="s">
        <v>513</v>
      </c>
      <c r="H537" s="41" t="s">
        <v>136</v>
      </c>
      <c r="I537" t="s">
        <v>514</v>
      </c>
      <c r="J537" t="s">
        <v>190</v>
      </c>
      <c r="K537" t="s">
        <v>139</v>
      </c>
      <c r="L537" s="17"/>
      <c r="M537" s="17"/>
      <c r="N537" s="17" t="s">
        <v>515</v>
      </c>
      <c r="O537" s="36"/>
      <c r="P537" s="17"/>
      <c r="Q537" s="17"/>
      <c r="U537" t="s">
        <v>516</v>
      </c>
      <c r="V537" t="s">
        <v>516</v>
      </c>
      <c r="X537" s="31">
        <v>44259</v>
      </c>
      <c r="Y537" s="31">
        <v>44259</v>
      </c>
      <c r="AA537" s="31"/>
      <c r="AB537" t="s">
        <v>9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1</v>
      </c>
      <c r="AI537">
        <v>50020</v>
      </c>
      <c r="AJ537">
        <v>2111</v>
      </c>
      <c r="AK537">
        <v>0</v>
      </c>
      <c r="AL537">
        <v>19</v>
      </c>
      <c r="AO537" s="41"/>
      <c r="AP537" s="41"/>
      <c r="AQ537" t="str">
        <f t="shared" si="16"/>
        <v/>
      </c>
      <c r="AS537" t="str">
        <f t="shared" si="17"/>
        <v>wci_corp</v>
      </c>
    </row>
    <row r="538" spans="2:45" x14ac:dyDescent="0.2">
      <c r="B538" t="s">
        <v>202</v>
      </c>
      <c r="C538" s="31">
        <v>44255</v>
      </c>
      <c r="D538" s="15">
        <v>923.84</v>
      </c>
      <c r="E538" s="15">
        <v>0</v>
      </c>
      <c r="F538" s="53" t="s">
        <v>134</v>
      </c>
      <c r="G538" t="s">
        <v>513</v>
      </c>
      <c r="H538" s="41" t="s">
        <v>136</v>
      </c>
      <c r="I538" t="s">
        <v>514</v>
      </c>
      <c r="J538" t="s">
        <v>190</v>
      </c>
      <c r="K538" t="s">
        <v>139</v>
      </c>
      <c r="L538" s="17"/>
      <c r="M538" s="17"/>
      <c r="N538" s="17" t="s">
        <v>515</v>
      </c>
      <c r="O538" s="36"/>
      <c r="P538" s="17"/>
      <c r="Q538" s="17"/>
      <c r="U538" t="s">
        <v>516</v>
      </c>
      <c r="V538" t="s">
        <v>516</v>
      </c>
      <c r="X538" s="31">
        <v>44259</v>
      </c>
      <c r="Y538" s="31">
        <v>44259</v>
      </c>
      <c r="AA538" s="31"/>
      <c r="AB538" t="s">
        <v>9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1</v>
      </c>
      <c r="AI538">
        <v>50020</v>
      </c>
      <c r="AJ538">
        <v>2111</v>
      </c>
      <c r="AK538">
        <v>0</v>
      </c>
      <c r="AL538">
        <v>19</v>
      </c>
      <c r="AO538" s="41"/>
      <c r="AP538" s="41"/>
      <c r="AQ538" t="str">
        <f t="shared" si="16"/>
        <v/>
      </c>
      <c r="AS538" t="str">
        <f t="shared" si="17"/>
        <v>wci_corp</v>
      </c>
    </row>
    <row r="539" spans="2:45" x14ac:dyDescent="0.2">
      <c r="B539" t="s">
        <v>142</v>
      </c>
      <c r="C539" s="31">
        <v>44255</v>
      </c>
      <c r="D539" s="15">
        <v>325</v>
      </c>
      <c r="E539" s="15">
        <v>0</v>
      </c>
      <c r="F539" s="53" t="s">
        <v>134</v>
      </c>
      <c r="G539" t="s">
        <v>513</v>
      </c>
      <c r="H539" s="41" t="s">
        <v>136</v>
      </c>
      <c r="I539" t="s">
        <v>514</v>
      </c>
      <c r="J539" t="s">
        <v>190</v>
      </c>
      <c r="K539" t="s">
        <v>139</v>
      </c>
      <c r="L539" s="17"/>
      <c r="M539" s="17"/>
      <c r="N539" s="17" t="s">
        <v>517</v>
      </c>
      <c r="O539" s="36"/>
      <c r="P539" s="17"/>
      <c r="Q539" s="17"/>
      <c r="U539" t="s">
        <v>516</v>
      </c>
      <c r="V539" t="s">
        <v>516</v>
      </c>
      <c r="X539" s="31">
        <v>44259</v>
      </c>
      <c r="Y539" s="31">
        <v>44259</v>
      </c>
      <c r="AA539" s="31"/>
      <c r="AB539" t="s">
        <v>9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1</v>
      </c>
      <c r="AI539">
        <v>70165</v>
      </c>
      <c r="AJ539">
        <v>2111</v>
      </c>
      <c r="AK539">
        <v>0</v>
      </c>
      <c r="AL539">
        <v>19</v>
      </c>
      <c r="AO539" s="41"/>
      <c r="AP539" s="41"/>
      <c r="AQ539" t="str">
        <f t="shared" si="16"/>
        <v/>
      </c>
      <c r="AS539" t="str">
        <f t="shared" si="17"/>
        <v>wci_corp</v>
      </c>
    </row>
    <row r="540" spans="2:45" x14ac:dyDescent="0.2">
      <c r="B540" t="s">
        <v>142</v>
      </c>
      <c r="C540" s="31">
        <v>44255</v>
      </c>
      <c r="D540" s="15">
        <v>25</v>
      </c>
      <c r="E540" s="15">
        <v>0</v>
      </c>
      <c r="F540" s="53" t="s">
        <v>134</v>
      </c>
      <c r="G540" t="s">
        <v>513</v>
      </c>
      <c r="H540" s="41" t="s">
        <v>136</v>
      </c>
      <c r="I540" t="s">
        <v>514</v>
      </c>
      <c r="J540" t="s">
        <v>190</v>
      </c>
      <c r="K540" t="s">
        <v>139</v>
      </c>
      <c r="L540" s="17"/>
      <c r="M540" s="17"/>
      <c r="N540" s="17" t="s">
        <v>517</v>
      </c>
      <c r="O540" s="36"/>
      <c r="P540" s="17"/>
      <c r="Q540" s="17"/>
      <c r="U540" t="s">
        <v>516</v>
      </c>
      <c r="V540" t="s">
        <v>516</v>
      </c>
      <c r="X540" s="31">
        <v>44259</v>
      </c>
      <c r="Y540" s="31">
        <v>44259</v>
      </c>
      <c r="AA540" s="31"/>
      <c r="AB540" t="s">
        <v>9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1</v>
      </c>
      <c r="AI540">
        <v>70165</v>
      </c>
      <c r="AJ540">
        <v>2111</v>
      </c>
      <c r="AK540">
        <v>0</v>
      </c>
      <c r="AL540">
        <v>19</v>
      </c>
      <c r="AO540" s="41"/>
      <c r="AP540" s="41"/>
      <c r="AQ540" t="str">
        <f t="shared" si="16"/>
        <v/>
      </c>
      <c r="AS540" t="str">
        <f t="shared" si="17"/>
        <v>wci_corp</v>
      </c>
    </row>
    <row r="541" spans="2:45" x14ac:dyDescent="0.2">
      <c r="B541" t="s">
        <v>142</v>
      </c>
      <c r="C541" s="31">
        <v>44255</v>
      </c>
      <c r="D541" s="15">
        <v>25</v>
      </c>
      <c r="E541" s="15">
        <v>0</v>
      </c>
      <c r="F541" s="53" t="s">
        <v>134</v>
      </c>
      <c r="G541" t="s">
        <v>513</v>
      </c>
      <c r="H541" s="41" t="s">
        <v>136</v>
      </c>
      <c r="I541" t="s">
        <v>514</v>
      </c>
      <c r="J541" t="s">
        <v>190</v>
      </c>
      <c r="K541" t="s">
        <v>139</v>
      </c>
      <c r="L541" s="17"/>
      <c r="M541" s="17"/>
      <c r="N541" s="17" t="s">
        <v>517</v>
      </c>
      <c r="O541" s="36"/>
      <c r="P541" s="17"/>
      <c r="Q541" s="17"/>
      <c r="U541" t="s">
        <v>516</v>
      </c>
      <c r="V541" t="s">
        <v>516</v>
      </c>
      <c r="X541" s="31">
        <v>44259</v>
      </c>
      <c r="Y541" s="31">
        <v>44259</v>
      </c>
      <c r="AA541" s="31"/>
      <c r="AB541" t="s">
        <v>9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1</v>
      </c>
      <c r="AI541">
        <v>70165</v>
      </c>
      <c r="AJ541">
        <v>2111</v>
      </c>
      <c r="AK541">
        <v>0</v>
      </c>
      <c r="AL541">
        <v>19</v>
      </c>
      <c r="AO541" s="41"/>
      <c r="AP541" s="41"/>
      <c r="AQ541" t="str">
        <f t="shared" si="16"/>
        <v/>
      </c>
      <c r="AS541" t="str">
        <f t="shared" si="17"/>
        <v>wci_corp</v>
      </c>
    </row>
    <row r="542" spans="2:45" x14ac:dyDescent="0.2">
      <c r="B542" t="s">
        <v>202</v>
      </c>
      <c r="C542" s="31">
        <v>44255</v>
      </c>
      <c r="D542" s="15">
        <v>106</v>
      </c>
      <c r="E542" s="15">
        <v>0</v>
      </c>
      <c r="F542" s="53" t="s">
        <v>134</v>
      </c>
      <c r="G542" t="s">
        <v>518</v>
      </c>
      <c r="H542" s="41" t="s">
        <v>136</v>
      </c>
      <c r="I542" t="s">
        <v>519</v>
      </c>
      <c r="J542" t="s">
        <v>190</v>
      </c>
      <c r="K542" t="s">
        <v>139</v>
      </c>
      <c r="L542" s="17"/>
      <c r="M542" s="17"/>
      <c r="N542" s="17" t="s">
        <v>520</v>
      </c>
      <c r="O542" s="36"/>
      <c r="P542" s="17"/>
      <c r="Q542" s="17"/>
      <c r="U542" t="s">
        <v>521</v>
      </c>
      <c r="V542" t="s">
        <v>521</v>
      </c>
      <c r="X542" s="31">
        <v>44259</v>
      </c>
      <c r="Y542" s="31">
        <v>44259</v>
      </c>
      <c r="AA542" s="31"/>
      <c r="AB542" t="s">
        <v>9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1</v>
      </c>
      <c r="AI542">
        <v>50020</v>
      </c>
      <c r="AJ542">
        <v>2111</v>
      </c>
      <c r="AK542">
        <v>0</v>
      </c>
      <c r="AL542">
        <v>19</v>
      </c>
      <c r="AO542" s="41"/>
      <c r="AP542" s="41"/>
      <c r="AQ542" t="str">
        <f t="shared" si="16"/>
        <v/>
      </c>
      <c r="AS542" t="str">
        <f t="shared" si="17"/>
        <v>wci_corp</v>
      </c>
    </row>
    <row r="543" spans="2:45" x14ac:dyDescent="0.2">
      <c r="B543" t="s">
        <v>202</v>
      </c>
      <c r="C543" s="31">
        <v>44255</v>
      </c>
      <c r="D543" s="15">
        <v>461.92</v>
      </c>
      <c r="E543" s="15">
        <v>0</v>
      </c>
      <c r="F543" s="53" t="s">
        <v>134</v>
      </c>
      <c r="G543" t="s">
        <v>518</v>
      </c>
      <c r="H543" s="41" t="s">
        <v>136</v>
      </c>
      <c r="I543" t="s">
        <v>519</v>
      </c>
      <c r="J543" t="s">
        <v>190</v>
      </c>
      <c r="K543" t="s">
        <v>139</v>
      </c>
      <c r="L543" s="17"/>
      <c r="M543" s="17"/>
      <c r="N543" s="17" t="s">
        <v>520</v>
      </c>
      <c r="O543" s="36"/>
      <c r="P543" s="17"/>
      <c r="Q543" s="17"/>
      <c r="U543" t="s">
        <v>521</v>
      </c>
      <c r="V543" t="s">
        <v>521</v>
      </c>
      <c r="X543" s="31">
        <v>44259</v>
      </c>
      <c r="Y543" s="31">
        <v>44259</v>
      </c>
      <c r="AA543" s="31"/>
      <c r="AB543" t="s">
        <v>9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1</v>
      </c>
      <c r="AI543">
        <v>50020</v>
      </c>
      <c r="AJ543">
        <v>2111</v>
      </c>
      <c r="AK543">
        <v>0</v>
      </c>
      <c r="AL543">
        <v>19</v>
      </c>
      <c r="AO543" s="41"/>
      <c r="AP543" s="41"/>
      <c r="AQ543" t="str">
        <f t="shared" si="16"/>
        <v/>
      </c>
      <c r="AS543" t="str">
        <f t="shared" si="17"/>
        <v>wci_corp</v>
      </c>
    </row>
    <row r="544" spans="2:45" x14ac:dyDescent="0.2">
      <c r="B544" t="s">
        <v>142</v>
      </c>
      <c r="C544" s="31">
        <v>44255</v>
      </c>
      <c r="D544" s="15">
        <v>162.5</v>
      </c>
      <c r="E544" s="15">
        <v>0</v>
      </c>
      <c r="F544" s="53" t="s">
        <v>134</v>
      </c>
      <c r="G544" t="s">
        <v>518</v>
      </c>
      <c r="H544" s="41" t="s">
        <v>136</v>
      </c>
      <c r="I544" t="s">
        <v>519</v>
      </c>
      <c r="J544" t="s">
        <v>190</v>
      </c>
      <c r="K544" t="s">
        <v>139</v>
      </c>
      <c r="L544" s="17"/>
      <c r="M544" s="17"/>
      <c r="N544" s="17" t="s">
        <v>522</v>
      </c>
      <c r="O544" s="36"/>
      <c r="P544" s="17"/>
      <c r="Q544" s="17"/>
      <c r="U544" t="s">
        <v>521</v>
      </c>
      <c r="V544" t="s">
        <v>521</v>
      </c>
      <c r="X544" s="31">
        <v>44259</v>
      </c>
      <c r="Y544" s="31">
        <v>44259</v>
      </c>
      <c r="AA544" s="31"/>
      <c r="AB544" t="s">
        <v>9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1</v>
      </c>
      <c r="AI544">
        <v>70165</v>
      </c>
      <c r="AJ544">
        <v>2111</v>
      </c>
      <c r="AK544">
        <v>0</v>
      </c>
      <c r="AL544">
        <v>19</v>
      </c>
      <c r="AO544" s="41"/>
      <c r="AP544" s="41"/>
      <c r="AQ544" t="str">
        <f t="shared" si="16"/>
        <v/>
      </c>
      <c r="AS544" t="str">
        <f t="shared" si="17"/>
        <v>wci_corp</v>
      </c>
    </row>
    <row r="545" spans="2:45" x14ac:dyDescent="0.2">
      <c r="B545" t="s">
        <v>142</v>
      </c>
      <c r="C545" s="31">
        <v>44255</v>
      </c>
      <c r="D545" s="15">
        <v>12.5</v>
      </c>
      <c r="E545" s="15">
        <v>0</v>
      </c>
      <c r="F545" s="53" t="s">
        <v>134</v>
      </c>
      <c r="G545" t="s">
        <v>518</v>
      </c>
      <c r="H545" s="41" t="s">
        <v>136</v>
      </c>
      <c r="I545" t="s">
        <v>519</v>
      </c>
      <c r="J545" t="s">
        <v>190</v>
      </c>
      <c r="K545" t="s">
        <v>139</v>
      </c>
      <c r="L545" s="17"/>
      <c r="M545" s="17"/>
      <c r="N545" s="17" t="s">
        <v>522</v>
      </c>
      <c r="O545" s="36"/>
      <c r="P545" s="17"/>
      <c r="Q545" s="17"/>
      <c r="U545" t="s">
        <v>521</v>
      </c>
      <c r="V545" t="s">
        <v>521</v>
      </c>
      <c r="X545" s="31">
        <v>44259</v>
      </c>
      <c r="Y545" s="31">
        <v>44259</v>
      </c>
      <c r="AA545" s="31"/>
      <c r="AB545" t="s">
        <v>9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1</v>
      </c>
      <c r="AI545">
        <v>70165</v>
      </c>
      <c r="AJ545">
        <v>2111</v>
      </c>
      <c r="AK545">
        <v>0</v>
      </c>
      <c r="AL545">
        <v>19</v>
      </c>
      <c r="AO545" s="41"/>
      <c r="AP545" s="41"/>
      <c r="AQ545" t="str">
        <f t="shared" si="16"/>
        <v/>
      </c>
      <c r="AS545" t="str">
        <f t="shared" si="17"/>
        <v>wci_corp</v>
      </c>
    </row>
    <row r="546" spans="2:45" x14ac:dyDescent="0.2">
      <c r="B546" t="s">
        <v>142</v>
      </c>
      <c r="C546" s="31">
        <v>44255</v>
      </c>
      <c r="D546" s="15">
        <v>12.5</v>
      </c>
      <c r="E546" s="15">
        <v>0</v>
      </c>
      <c r="F546" s="53" t="s">
        <v>134</v>
      </c>
      <c r="G546" t="s">
        <v>518</v>
      </c>
      <c r="H546" s="41" t="s">
        <v>136</v>
      </c>
      <c r="I546" t="s">
        <v>519</v>
      </c>
      <c r="J546" t="s">
        <v>190</v>
      </c>
      <c r="K546" t="s">
        <v>139</v>
      </c>
      <c r="L546" s="17"/>
      <c r="M546" s="17"/>
      <c r="N546" s="17" t="s">
        <v>522</v>
      </c>
      <c r="O546" s="36"/>
      <c r="P546" s="17"/>
      <c r="Q546" s="17"/>
      <c r="U546" t="s">
        <v>521</v>
      </c>
      <c r="V546" t="s">
        <v>521</v>
      </c>
      <c r="X546" s="31">
        <v>44259</v>
      </c>
      <c r="Y546" s="31">
        <v>44259</v>
      </c>
      <c r="AA546" s="31"/>
      <c r="AB546" t="s">
        <v>9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1</v>
      </c>
      <c r="AI546">
        <v>70165</v>
      </c>
      <c r="AJ546">
        <v>2111</v>
      </c>
      <c r="AK546">
        <v>0</v>
      </c>
      <c r="AL546">
        <v>19</v>
      </c>
      <c r="AO546" s="41"/>
      <c r="AP546" s="41"/>
      <c r="AQ546" t="str">
        <f t="shared" si="16"/>
        <v/>
      </c>
      <c r="AS546" t="str">
        <f t="shared" si="17"/>
        <v>wci_corp</v>
      </c>
    </row>
    <row r="547" spans="2:45" x14ac:dyDescent="0.2">
      <c r="C547" s="31"/>
      <c r="D547" s="18"/>
      <c r="E547" s="18"/>
      <c r="F547" s="18"/>
      <c r="H547" s="16"/>
    </row>
    <row r="548" spans="2:45" x14ac:dyDescent="0.2">
      <c r="B548" s="19" t="s">
        <v>33</v>
      </c>
      <c r="C548" s="19"/>
      <c r="D548" s="20"/>
      <c r="E548" s="20"/>
      <c r="F548" s="20"/>
      <c r="G548" s="19"/>
      <c r="H548" s="21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45"/>
    </row>
    <row r="549" spans="2:45" x14ac:dyDescent="0.2">
      <c r="H549" s="16"/>
    </row>
    <row r="550" spans="2:45" x14ac:dyDescent="0.2">
      <c r="H550" s="16"/>
    </row>
    <row r="551" spans="2:45" x14ac:dyDescent="0.2">
      <c r="D551" s="59" t="s">
        <v>526</v>
      </c>
      <c r="H551" s="16"/>
    </row>
    <row r="552" spans="2:45" x14ac:dyDescent="0.2">
      <c r="B552" s="55" t="s">
        <v>523</v>
      </c>
      <c r="C552" s="56" t="s">
        <v>525</v>
      </c>
      <c r="D552" s="60" t="s">
        <v>525</v>
      </c>
      <c r="E552" s="185" t="s">
        <v>1536</v>
      </c>
      <c r="H552" s="16"/>
    </row>
    <row r="553" spans="2:45" x14ac:dyDescent="0.2">
      <c r="B553" s="17" t="s">
        <v>202</v>
      </c>
      <c r="C553" s="56">
        <v>70728.959999999992</v>
      </c>
      <c r="D553" s="57">
        <v>70728.959999999992</v>
      </c>
      <c r="E553" s="44" t="s">
        <v>1532</v>
      </c>
      <c r="H553" s="16"/>
    </row>
    <row r="554" spans="2:45" x14ac:dyDescent="0.2">
      <c r="B554" s="23" t="s">
        <v>520</v>
      </c>
      <c r="C554" s="56">
        <v>567.92000000000007</v>
      </c>
      <c r="D554" s="56">
        <v>567.92000000000007</v>
      </c>
      <c r="H554" s="16"/>
    </row>
    <row r="555" spans="2:45" x14ac:dyDescent="0.2">
      <c r="B555" s="23" t="s">
        <v>140</v>
      </c>
      <c r="C555" s="56">
        <v>942.4</v>
      </c>
      <c r="D555" s="56">
        <v>942.4</v>
      </c>
      <c r="H555" s="16"/>
    </row>
    <row r="556" spans="2:45" x14ac:dyDescent="0.2">
      <c r="B556" s="23" t="s">
        <v>199</v>
      </c>
      <c r="C556" s="56">
        <v>1932.08</v>
      </c>
      <c r="D556" s="56">
        <v>1932.08</v>
      </c>
      <c r="H556" s="16"/>
    </row>
    <row r="557" spans="2:45" x14ac:dyDescent="0.2">
      <c r="B557" s="23" t="s">
        <v>210</v>
      </c>
      <c r="C557" s="56">
        <v>1084</v>
      </c>
      <c r="D557" s="56">
        <v>1084</v>
      </c>
      <c r="H557" s="16"/>
    </row>
    <row r="558" spans="2:45" x14ac:dyDescent="0.2">
      <c r="B558" s="23" t="s">
        <v>249</v>
      </c>
      <c r="C558" s="56">
        <v>1272</v>
      </c>
      <c r="D558" s="56">
        <v>1272</v>
      </c>
      <c r="H558" s="16"/>
    </row>
    <row r="559" spans="2:45" x14ac:dyDescent="0.2">
      <c r="B559" s="23" t="s">
        <v>261</v>
      </c>
      <c r="C559" s="56">
        <v>640.32000000000005</v>
      </c>
      <c r="D559" s="56">
        <v>640.32000000000005</v>
      </c>
      <c r="H559" s="16"/>
    </row>
    <row r="560" spans="2:45" x14ac:dyDescent="0.2">
      <c r="B560" s="23" t="s">
        <v>325</v>
      </c>
      <c r="C560" s="56">
        <v>213.04</v>
      </c>
      <c r="D560" s="56">
        <v>213.04</v>
      </c>
      <c r="H560" s="16"/>
    </row>
    <row r="561" spans="2:8" x14ac:dyDescent="0.2">
      <c r="B561" s="23" t="s">
        <v>345</v>
      </c>
      <c r="C561" s="56">
        <v>5212.3999999999996</v>
      </c>
      <c r="D561" s="56">
        <v>5212.3999999999996</v>
      </c>
      <c r="H561" s="16"/>
    </row>
    <row r="562" spans="2:8" x14ac:dyDescent="0.2">
      <c r="B562" s="23" t="s">
        <v>350</v>
      </c>
      <c r="C562" s="56">
        <v>2911.36</v>
      </c>
      <c r="D562" s="56">
        <v>2911.36</v>
      </c>
      <c r="H562" s="16"/>
    </row>
    <row r="563" spans="2:8" x14ac:dyDescent="0.2">
      <c r="B563" s="23" t="s">
        <v>358</v>
      </c>
      <c r="C563" s="56">
        <v>1206.8</v>
      </c>
      <c r="D563" s="56">
        <v>1206.8</v>
      </c>
      <c r="H563" s="16"/>
    </row>
    <row r="564" spans="2:8" x14ac:dyDescent="0.2">
      <c r="B564" s="23" t="s">
        <v>363</v>
      </c>
      <c r="C564" s="56">
        <v>655.68</v>
      </c>
      <c r="D564" s="56">
        <v>655.68</v>
      </c>
      <c r="H564" s="16"/>
    </row>
    <row r="565" spans="2:8" x14ac:dyDescent="0.2">
      <c r="B565" s="23" t="s">
        <v>373</v>
      </c>
      <c r="C565" s="56">
        <v>225.84</v>
      </c>
      <c r="D565" s="56">
        <v>225.84</v>
      </c>
      <c r="H565" s="16"/>
    </row>
    <row r="566" spans="2:8" x14ac:dyDescent="0.2">
      <c r="B566" s="23" t="s">
        <v>379</v>
      </c>
      <c r="C566" s="56">
        <v>1668.48</v>
      </c>
      <c r="D566" s="56">
        <v>1668.48</v>
      </c>
      <c r="H566" s="16"/>
    </row>
    <row r="567" spans="2:8" x14ac:dyDescent="0.2">
      <c r="B567" s="23" t="s">
        <v>384</v>
      </c>
      <c r="C567" s="56">
        <v>1280.8</v>
      </c>
      <c r="D567" s="56">
        <v>1280.8</v>
      </c>
    </row>
    <row r="568" spans="2:8" x14ac:dyDescent="0.2">
      <c r="B568" s="23" t="s">
        <v>394</v>
      </c>
      <c r="C568" s="56">
        <v>1428</v>
      </c>
      <c r="D568" s="56">
        <v>1428</v>
      </c>
    </row>
    <row r="569" spans="2:8" x14ac:dyDescent="0.2">
      <c r="B569" s="23" t="s">
        <v>399</v>
      </c>
      <c r="C569" s="56">
        <v>3040.96</v>
      </c>
      <c r="D569" s="56">
        <v>3040.96</v>
      </c>
    </row>
    <row r="570" spans="2:8" x14ac:dyDescent="0.2">
      <c r="B570" s="23" t="s">
        <v>411</v>
      </c>
      <c r="C570" s="56">
        <v>7738.8</v>
      </c>
      <c r="D570" s="56">
        <v>7738.8</v>
      </c>
    </row>
    <row r="571" spans="2:8" x14ac:dyDescent="0.2">
      <c r="B571" s="23" t="s">
        <v>416</v>
      </c>
      <c r="C571" s="56">
        <v>8143.04</v>
      </c>
      <c r="D571" s="56">
        <v>8143.04</v>
      </c>
    </row>
    <row r="572" spans="2:8" x14ac:dyDescent="0.2">
      <c r="B572" s="23" t="s">
        <v>445</v>
      </c>
      <c r="C572" s="56">
        <v>5274.08</v>
      </c>
      <c r="D572" s="56">
        <v>5274.08</v>
      </c>
    </row>
    <row r="573" spans="2:8" x14ac:dyDescent="0.2">
      <c r="B573" s="23" t="s">
        <v>450</v>
      </c>
      <c r="C573" s="56">
        <v>5604.8</v>
      </c>
      <c r="D573" s="56">
        <v>5604.8</v>
      </c>
    </row>
    <row r="574" spans="2:8" x14ac:dyDescent="0.2">
      <c r="B574" s="23" t="s">
        <v>146</v>
      </c>
      <c r="C574" s="56">
        <v>0</v>
      </c>
      <c r="D574" s="56">
        <v>0</v>
      </c>
    </row>
    <row r="575" spans="2:8" x14ac:dyDescent="0.2">
      <c r="B575" s="23" t="s">
        <v>491</v>
      </c>
      <c r="C575" s="56">
        <v>10723.92</v>
      </c>
      <c r="D575" s="56">
        <v>10723.92</v>
      </c>
    </row>
    <row r="576" spans="2:8" x14ac:dyDescent="0.2">
      <c r="B576" s="23" t="s">
        <v>496</v>
      </c>
      <c r="C576" s="56">
        <v>4205.92</v>
      </c>
      <c r="D576" s="56">
        <v>4205.92</v>
      </c>
    </row>
    <row r="577" spans="2:5" x14ac:dyDescent="0.2">
      <c r="B577" s="23" t="s">
        <v>510</v>
      </c>
      <c r="C577" s="56">
        <v>3620.48</v>
      </c>
      <c r="D577" s="56">
        <v>3620.48</v>
      </c>
    </row>
    <row r="578" spans="2:5" x14ac:dyDescent="0.2">
      <c r="B578" s="23" t="s">
        <v>515</v>
      </c>
      <c r="C578" s="56">
        <v>1135.8400000000001</v>
      </c>
      <c r="D578" s="56">
        <v>1135.8400000000001</v>
      </c>
    </row>
    <row r="579" spans="2:5" x14ac:dyDescent="0.2">
      <c r="B579" s="23" t="s">
        <v>455</v>
      </c>
      <c r="C579" s="56">
        <v>0</v>
      </c>
      <c r="D579" s="56">
        <v>0</v>
      </c>
    </row>
    <row r="580" spans="2:5" x14ac:dyDescent="0.2">
      <c r="B580" s="23" t="s">
        <v>501</v>
      </c>
      <c r="C580" s="56">
        <v>0</v>
      </c>
      <c r="D580" s="56">
        <v>0</v>
      </c>
    </row>
    <row r="581" spans="2:5" x14ac:dyDescent="0.2">
      <c r="B581" s="17" t="s">
        <v>156</v>
      </c>
      <c r="C581" s="56">
        <v>17719.900000000001</v>
      </c>
      <c r="D581" s="57">
        <v>17719.900000000001</v>
      </c>
      <c r="E581" s="44" t="s">
        <v>1532</v>
      </c>
    </row>
    <row r="582" spans="2:5" x14ac:dyDescent="0.2">
      <c r="B582" s="23" t="s">
        <v>159</v>
      </c>
      <c r="C582" s="56">
        <v>0</v>
      </c>
      <c r="D582" s="56">
        <v>0</v>
      </c>
    </row>
    <row r="583" spans="2:5" x14ac:dyDescent="0.2">
      <c r="B583" s="23" t="s">
        <v>225</v>
      </c>
      <c r="C583" s="56">
        <v>0</v>
      </c>
      <c r="D583" s="56">
        <v>0</v>
      </c>
    </row>
    <row r="584" spans="2:5" x14ac:dyDescent="0.2">
      <c r="B584" s="23" t="s">
        <v>305</v>
      </c>
      <c r="C584" s="56">
        <v>0</v>
      </c>
      <c r="D584" s="56">
        <v>0</v>
      </c>
    </row>
    <row r="585" spans="2:5" x14ac:dyDescent="0.2">
      <c r="B585" s="23" t="s">
        <v>309</v>
      </c>
      <c r="C585" s="56">
        <v>0</v>
      </c>
      <c r="D585" s="56">
        <v>0</v>
      </c>
    </row>
    <row r="586" spans="2:5" x14ac:dyDescent="0.2">
      <c r="B586" s="23" t="s">
        <v>427</v>
      </c>
      <c r="C586" s="56">
        <v>7600</v>
      </c>
      <c r="D586" s="56">
        <v>7600</v>
      </c>
    </row>
    <row r="587" spans="2:5" x14ac:dyDescent="0.2">
      <c r="B587" s="23" t="s">
        <v>191</v>
      </c>
      <c r="C587" s="56">
        <v>2230.96</v>
      </c>
      <c r="D587" s="56">
        <v>2230.96</v>
      </c>
    </row>
    <row r="588" spans="2:5" x14ac:dyDescent="0.2">
      <c r="B588" s="23" t="s">
        <v>212</v>
      </c>
      <c r="C588" s="56">
        <v>1845</v>
      </c>
      <c r="D588" s="56">
        <v>1845</v>
      </c>
    </row>
    <row r="589" spans="2:5" x14ac:dyDescent="0.2">
      <c r="B589" s="23" t="s">
        <v>257</v>
      </c>
      <c r="C589" s="56">
        <v>3520.8</v>
      </c>
      <c r="D589" s="56">
        <v>3520.8</v>
      </c>
    </row>
    <row r="590" spans="2:5" x14ac:dyDescent="0.2">
      <c r="B590" s="23" t="s">
        <v>263</v>
      </c>
      <c r="C590" s="56">
        <v>1653.24</v>
      </c>
      <c r="D590" s="56">
        <v>1653.24</v>
      </c>
    </row>
    <row r="591" spans="2:5" x14ac:dyDescent="0.2">
      <c r="B591" s="23" t="s">
        <v>264</v>
      </c>
      <c r="C591" s="56">
        <v>869.9</v>
      </c>
      <c r="D591" s="56">
        <v>869.9</v>
      </c>
    </row>
    <row r="592" spans="2:5" x14ac:dyDescent="0.2">
      <c r="B592" s="17" t="s">
        <v>193</v>
      </c>
      <c r="C592" s="56">
        <v>58161.579999999994</v>
      </c>
      <c r="D592" s="57">
        <v>58161.579999999994</v>
      </c>
      <c r="E592" s="44" t="s">
        <v>1532</v>
      </c>
    </row>
    <row r="593" spans="2:5" x14ac:dyDescent="0.2">
      <c r="B593" s="23" t="s">
        <v>436</v>
      </c>
      <c r="C593" s="56">
        <v>-38400</v>
      </c>
      <c r="D593" s="56">
        <v>-38400</v>
      </c>
    </row>
    <row r="594" spans="2:5" x14ac:dyDescent="0.2">
      <c r="B594" s="23" t="s">
        <v>427</v>
      </c>
      <c r="C594" s="56">
        <v>43600</v>
      </c>
      <c r="D594" s="56">
        <v>43600</v>
      </c>
    </row>
    <row r="595" spans="2:5" x14ac:dyDescent="0.2">
      <c r="B595" s="23" t="s">
        <v>191</v>
      </c>
      <c r="C595" s="56">
        <v>10461.959999999999</v>
      </c>
      <c r="D595" s="56">
        <v>10461.959999999999</v>
      </c>
    </row>
    <row r="596" spans="2:5" x14ac:dyDescent="0.2">
      <c r="B596" s="23" t="s">
        <v>212</v>
      </c>
      <c r="C596" s="56">
        <v>9407.74</v>
      </c>
      <c r="D596" s="56">
        <v>9407.74</v>
      </c>
    </row>
    <row r="597" spans="2:5" x14ac:dyDescent="0.2">
      <c r="B597" s="23" t="s">
        <v>257</v>
      </c>
      <c r="C597" s="56">
        <v>18413</v>
      </c>
      <c r="D597" s="56">
        <v>18413</v>
      </c>
    </row>
    <row r="598" spans="2:5" x14ac:dyDescent="0.2">
      <c r="B598" s="23" t="s">
        <v>263</v>
      </c>
      <c r="C598" s="56">
        <v>9832.42</v>
      </c>
      <c r="D598" s="56">
        <v>9832.42</v>
      </c>
    </row>
    <row r="599" spans="2:5" x14ac:dyDescent="0.2">
      <c r="B599" s="23" t="s">
        <v>264</v>
      </c>
      <c r="C599" s="56">
        <v>4846.46</v>
      </c>
      <c r="D599" s="56">
        <v>4846.46</v>
      </c>
    </row>
    <row r="600" spans="2:5" x14ac:dyDescent="0.2">
      <c r="B600" s="17" t="s">
        <v>194</v>
      </c>
      <c r="C600" s="56">
        <v>71040.780000000013</v>
      </c>
      <c r="D600" s="57">
        <v>71040.780000000013</v>
      </c>
      <c r="E600" s="44" t="s">
        <v>1532</v>
      </c>
    </row>
    <row r="601" spans="2:5" x14ac:dyDescent="0.2">
      <c r="B601" s="23" t="s">
        <v>427</v>
      </c>
      <c r="C601" s="56">
        <v>30000</v>
      </c>
      <c r="D601" s="56">
        <v>30000</v>
      </c>
    </row>
    <row r="602" spans="2:5" x14ac:dyDescent="0.2">
      <c r="B602" s="23" t="s">
        <v>191</v>
      </c>
      <c r="C602" s="56">
        <v>6667.28</v>
      </c>
      <c r="D602" s="56">
        <v>6667.28</v>
      </c>
    </row>
    <row r="603" spans="2:5" x14ac:dyDescent="0.2">
      <c r="B603" s="23" t="s">
        <v>212</v>
      </c>
      <c r="C603" s="56">
        <v>7011.3</v>
      </c>
      <c r="D603" s="56">
        <v>7011.3</v>
      </c>
    </row>
    <row r="604" spans="2:5" x14ac:dyDescent="0.2">
      <c r="B604" s="23" t="s">
        <v>257</v>
      </c>
      <c r="C604" s="56">
        <v>15760.36</v>
      </c>
      <c r="D604" s="56">
        <v>15760.36</v>
      </c>
    </row>
    <row r="605" spans="2:5" x14ac:dyDescent="0.2">
      <c r="B605" s="23" t="s">
        <v>263</v>
      </c>
      <c r="C605" s="56">
        <v>7926.74</v>
      </c>
      <c r="D605" s="56">
        <v>7926.74</v>
      </c>
    </row>
    <row r="606" spans="2:5" x14ac:dyDescent="0.2">
      <c r="B606" s="23" t="s">
        <v>264</v>
      </c>
      <c r="C606" s="56">
        <v>3675.1</v>
      </c>
      <c r="D606" s="56">
        <v>3675.1</v>
      </c>
    </row>
    <row r="607" spans="2:5" x14ac:dyDescent="0.2">
      <c r="B607" s="17" t="s">
        <v>195</v>
      </c>
      <c r="C607" s="56">
        <v>2877.3400000000006</v>
      </c>
      <c r="D607" s="57">
        <v>2877.3400000000006</v>
      </c>
      <c r="E607" s="44" t="s">
        <v>1532</v>
      </c>
    </row>
    <row r="608" spans="2:5" x14ac:dyDescent="0.2">
      <c r="B608" s="23" t="s">
        <v>427</v>
      </c>
      <c r="C608" s="56">
        <v>800</v>
      </c>
      <c r="D608" s="56">
        <v>800</v>
      </c>
    </row>
    <row r="609" spans="2:5" x14ac:dyDescent="0.2">
      <c r="B609" s="23" t="s">
        <v>191</v>
      </c>
      <c r="C609" s="56">
        <v>265.74</v>
      </c>
      <c r="D609" s="56">
        <v>265.74</v>
      </c>
    </row>
    <row r="610" spans="2:5" x14ac:dyDescent="0.2">
      <c r="B610" s="23" t="s">
        <v>212</v>
      </c>
      <c r="C610" s="56">
        <v>383.96</v>
      </c>
      <c r="D610" s="56">
        <v>383.96</v>
      </c>
    </row>
    <row r="611" spans="2:5" x14ac:dyDescent="0.2">
      <c r="B611" s="23" t="s">
        <v>257</v>
      </c>
      <c r="C611" s="56">
        <v>831.52</v>
      </c>
      <c r="D611" s="56">
        <v>831.52</v>
      </c>
    </row>
    <row r="612" spans="2:5" x14ac:dyDescent="0.2">
      <c r="B612" s="23" t="s">
        <v>263</v>
      </c>
      <c r="C612" s="56">
        <v>389.76</v>
      </c>
      <c r="D612" s="56">
        <v>389.76</v>
      </c>
    </row>
    <row r="613" spans="2:5" x14ac:dyDescent="0.2">
      <c r="B613" s="23" t="s">
        <v>264</v>
      </c>
      <c r="C613" s="56">
        <v>206.36</v>
      </c>
      <c r="D613" s="56">
        <v>206.36</v>
      </c>
    </row>
    <row r="614" spans="2:5" x14ac:dyDescent="0.2">
      <c r="B614" s="17" t="s">
        <v>196</v>
      </c>
      <c r="C614" s="56">
        <v>22469.360000000001</v>
      </c>
      <c r="D614" s="57">
        <v>22469.360000000001</v>
      </c>
      <c r="E614" s="44" t="s">
        <v>1532</v>
      </c>
    </row>
    <row r="615" spans="2:5" x14ac:dyDescent="0.2">
      <c r="B615" s="23" t="s">
        <v>427</v>
      </c>
      <c r="C615" s="56">
        <v>8400</v>
      </c>
      <c r="D615" s="56">
        <v>8400</v>
      </c>
    </row>
    <row r="616" spans="2:5" x14ac:dyDescent="0.2">
      <c r="B616" s="23" t="s">
        <v>191</v>
      </c>
      <c r="C616" s="56">
        <v>2055.7399999999998</v>
      </c>
      <c r="D616" s="56">
        <v>2055.7399999999998</v>
      </c>
    </row>
    <row r="617" spans="2:5" x14ac:dyDescent="0.2">
      <c r="B617" s="23" t="s">
        <v>212</v>
      </c>
      <c r="C617" s="56">
        <v>3345.02</v>
      </c>
      <c r="D617" s="56">
        <v>3345.02</v>
      </c>
    </row>
    <row r="618" spans="2:5" x14ac:dyDescent="0.2">
      <c r="B618" s="23" t="s">
        <v>257</v>
      </c>
      <c r="C618" s="56">
        <v>5278.68</v>
      </c>
      <c r="D618" s="56">
        <v>5278.68</v>
      </c>
    </row>
    <row r="619" spans="2:5" x14ac:dyDescent="0.2">
      <c r="B619" s="23" t="s">
        <v>263</v>
      </c>
      <c r="C619" s="56">
        <v>2188.2399999999998</v>
      </c>
      <c r="D619" s="56">
        <v>2188.2399999999998</v>
      </c>
    </row>
    <row r="620" spans="2:5" x14ac:dyDescent="0.2">
      <c r="B620" s="23" t="s">
        <v>264</v>
      </c>
      <c r="C620" s="56">
        <v>1201.68</v>
      </c>
      <c r="D620" s="56">
        <v>1201.68</v>
      </c>
    </row>
    <row r="621" spans="2:5" x14ac:dyDescent="0.2">
      <c r="B621" s="17" t="s">
        <v>197</v>
      </c>
      <c r="C621" s="56">
        <v>26916.28</v>
      </c>
      <c r="D621" s="57">
        <v>26916.28</v>
      </c>
      <c r="E621" s="44" t="s">
        <v>1532</v>
      </c>
    </row>
    <row r="622" spans="2:5" x14ac:dyDescent="0.2">
      <c r="B622" s="23" t="s">
        <v>427</v>
      </c>
      <c r="C622" s="56">
        <v>12800</v>
      </c>
      <c r="D622" s="56">
        <v>12800</v>
      </c>
    </row>
    <row r="623" spans="2:5" x14ac:dyDescent="0.2">
      <c r="B623" s="23" t="s">
        <v>191</v>
      </c>
      <c r="C623" s="56">
        <v>2779.74</v>
      </c>
      <c r="D623" s="56">
        <v>2779.74</v>
      </c>
    </row>
    <row r="624" spans="2:5" x14ac:dyDescent="0.2">
      <c r="B624" s="23" t="s">
        <v>212</v>
      </c>
      <c r="C624" s="56">
        <v>2204.6</v>
      </c>
      <c r="D624" s="56">
        <v>2204.6</v>
      </c>
    </row>
    <row r="625" spans="2:5" x14ac:dyDescent="0.2">
      <c r="B625" s="23" t="s">
        <v>257</v>
      </c>
      <c r="C625" s="56">
        <v>5138</v>
      </c>
      <c r="D625" s="56">
        <v>5138</v>
      </c>
    </row>
    <row r="626" spans="2:5" x14ac:dyDescent="0.2">
      <c r="B626" s="23" t="s">
        <v>263</v>
      </c>
      <c r="C626" s="56">
        <v>2705.58</v>
      </c>
      <c r="D626" s="56">
        <v>2705.58</v>
      </c>
    </row>
    <row r="627" spans="2:5" x14ac:dyDescent="0.2">
      <c r="B627" s="23" t="s">
        <v>264</v>
      </c>
      <c r="C627" s="56">
        <v>1288.3599999999999</v>
      </c>
      <c r="D627" s="56">
        <v>1288.3599999999999</v>
      </c>
    </row>
    <row r="628" spans="2:5" x14ac:dyDescent="0.2">
      <c r="B628" s="17" t="s">
        <v>198</v>
      </c>
      <c r="C628" s="56">
        <v>9514.2999999999993</v>
      </c>
      <c r="D628" s="57">
        <v>9514.2999999999993</v>
      </c>
      <c r="E628" s="44" t="s">
        <v>1532</v>
      </c>
    </row>
    <row r="629" spans="2:5" x14ac:dyDescent="0.2">
      <c r="B629" s="23" t="s">
        <v>427</v>
      </c>
      <c r="C629" s="56">
        <v>3600</v>
      </c>
      <c r="D629" s="56">
        <v>3600</v>
      </c>
    </row>
    <row r="630" spans="2:5" x14ac:dyDescent="0.2">
      <c r="B630" s="23" t="s">
        <v>191</v>
      </c>
      <c r="C630" s="56">
        <v>1309.04</v>
      </c>
      <c r="D630" s="56">
        <v>1309.04</v>
      </c>
    </row>
    <row r="631" spans="2:5" x14ac:dyDescent="0.2">
      <c r="B631" s="23" t="s">
        <v>212</v>
      </c>
      <c r="C631" s="56">
        <v>1091.1400000000001</v>
      </c>
      <c r="D631" s="56">
        <v>1091.1400000000001</v>
      </c>
    </row>
    <row r="632" spans="2:5" x14ac:dyDescent="0.2">
      <c r="B632" s="23" t="s">
        <v>257</v>
      </c>
      <c r="C632" s="56">
        <v>1922.32</v>
      </c>
      <c r="D632" s="56">
        <v>1922.32</v>
      </c>
    </row>
    <row r="633" spans="2:5" x14ac:dyDescent="0.2">
      <c r="B633" s="23" t="s">
        <v>263</v>
      </c>
      <c r="C633" s="56">
        <v>1056.6199999999999</v>
      </c>
      <c r="D633" s="56">
        <v>1056.6199999999999</v>
      </c>
    </row>
    <row r="634" spans="2:5" x14ac:dyDescent="0.2">
      <c r="B634" s="23" t="s">
        <v>264</v>
      </c>
      <c r="C634" s="56">
        <v>535.17999999999995</v>
      </c>
      <c r="D634" s="56">
        <v>535.17999999999995</v>
      </c>
    </row>
    <row r="635" spans="2:5" x14ac:dyDescent="0.2">
      <c r="B635" s="17" t="s">
        <v>161</v>
      </c>
      <c r="C635" s="56">
        <v>8438.7000000000007</v>
      </c>
      <c r="D635" s="57">
        <v>8438.7000000000007</v>
      </c>
      <c r="E635" s="44" t="s">
        <v>1532</v>
      </c>
    </row>
    <row r="636" spans="2:5" x14ac:dyDescent="0.2">
      <c r="B636" s="23" t="s">
        <v>159</v>
      </c>
      <c r="C636" s="56">
        <v>0</v>
      </c>
      <c r="D636" s="56">
        <v>0</v>
      </c>
    </row>
    <row r="637" spans="2:5" x14ac:dyDescent="0.2">
      <c r="B637" s="23" t="s">
        <v>225</v>
      </c>
      <c r="C637" s="56">
        <v>0</v>
      </c>
      <c r="D637" s="56">
        <v>0</v>
      </c>
    </row>
    <row r="638" spans="2:5" x14ac:dyDescent="0.2">
      <c r="B638" s="23" t="s">
        <v>305</v>
      </c>
      <c r="C638" s="56">
        <v>0</v>
      </c>
      <c r="D638" s="56">
        <v>0</v>
      </c>
    </row>
    <row r="639" spans="2:5" x14ac:dyDescent="0.2">
      <c r="B639" s="23" t="s">
        <v>309</v>
      </c>
      <c r="C639" s="56">
        <v>0</v>
      </c>
      <c r="D639" s="56">
        <v>0</v>
      </c>
    </row>
    <row r="640" spans="2:5" x14ac:dyDescent="0.2">
      <c r="B640" s="23" t="s">
        <v>433</v>
      </c>
      <c r="C640" s="56">
        <v>23.999999999999996</v>
      </c>
      <c r="D640" s="56">
        <v>23.999999999999996</v>
      </c>
    </row>
    <row r="641" spans="2:5" x14ac:dyDescent="0.2">
      <c r="B641" s="23" t="s">
        <v>422</v>
      </c>
      <c r="C641" s="56">
        <v>1548.6</v>
      </c>
      <c r="D641" s="56">
        <v>1548.6</v>
      </c>
    </row>
    <row r="642" spans="2:5" x14ac:dyDescent="0.2">
      <c r="B642" s="23" t="s">
        <v>424</v>
      </c>
      <c r="C642" s="56">
        <v>6621.6</v>
      </c>
      <c r="D642" s="56">
        <v>6621.6</v>
      </c>
    </row>
    <row r="643" spans="2:5" x14ac:dyDescent="0.2">
      <c r="B643" s="23" t="s">
        <v>434</v>
      </c>
      <c r="C643" s="56">
        <v>88.2</v>
      </c>
      <c r="D643" s="56">
        <v>88.2</v>
      </c>
    </row>
    <row r="644" spans="2:5" x14ac:dyDescent="0.2">
      <c r="B644" s="23" t="s">
        <v>431</v>
      </c>
      <c r="C644" s="56">
        <v>156.29999999999998</v>
      </c>
      <c r="D644" s="56">
        <v>156.29999999999998</v>
      </c>
    </row>
    <row r="645" spans="2:5" x14ac:dyDescent="0.2">
      <c r="B645" s="17" t="s">
        <v>133</v>
      </c>
      <c r="C645" s="56">
        <v>0</v>
      </c>
      <c r="D645" s="57">
        <v>0</v>
      </c>
      <c r="E645" s="44" t="s">
        <v>1532</v>
      </c>
    </row>
    <row r="646" spans="2:5" x14ac:dyDescent="0.2">
      <c r="B646" s="23" t="s">
        <v>140</v>
      </c>
      <c r="C646" s="56">
        <v>0</v>
      </c>
      <c r="D646" s="56">
        <v>0</v>
      </c>
    </row>
    <row r="647" spans="2:5" x14ac:dyDescent="0.2">
      <c r="B647" s="23" t="s">
        <v>199</v>
      </c>
      <c r="C647" s="56">
        <v>0</v>
      </c>
      <c r="D647" s="56">
        <v>0</v>
      </c>
    </row>
    <row r="648" spans="2:5" x14ac:dyDescent="0.2">
      <c r="B648" s="23" t="s">
        <v>146</v>
      </c>
      <c r="C648" s="56">
        <v>0</v>
      </c>
      <c r="D648" s="56">
        <v>0</v>
      </c>
    </row>
    <row r="649" spans="2:5" x14ac:dyDescent="0.2">
      <c r="B649" s="17" t="s">
        <v>170</v>
      </c>
      <c r="C649" s="56">
        <v>4422.46</v>
      </c>
      <c r="D649" s="57">
        <v>4422.46</v>
      </c>
      <c r="E649" s="44" t="s">
        <v>1532</v>
      </c>
    </row>
    <row r="650" spans="2:5" x14ac:dyDescent="0.2">
      <c r="B650" s="23" t="s">
        <v>228</v>
      </c>
      <c r="C650" s="56">
        <v>-1862.9699999999998</v>
      </c>
      <c r="D650" s="56">
        <v>-1862.9699999999998</v>
      </c>
    </row>
    <row r="651" spans="2:5" x14ac:dyDescent="0.2">
      <c r="B651" s="23" t="s">
        <v>174</v>
      </c>
      <c r="C651" s="56">
        <v>411.8</v>
      </c>
      <c r="D651" s="56">
        <v>411.8</v>
      </c>
    </row>
    <row r="652" spans="2:5" x14ac:dyDescent="0.2">
      <c r="B652" s="23" t="s">
        <v>284</v>
      </c>
      <c r="C652" s="56">
        <v>455.85</v>
      </c>
      <c r="D652" s="56">
        <v>455.85</v>
      </c>
    </row>
    <row r="653" spans="2:5" x14ac:dyDescent="0.2">
      <c r="B653" s="23" t="s">
        <v>341</v>
      </c>
      <c r="C653" s="56">
        <v>290.04000000000002</v>
      </c>
      <c r="D653" s="56">
        <v>290.04000000000002</v>
      </c>
    </row>
    <row r="654" spans="2:5" x14ac:dyDescent="0.2">
      <c r="B654" s="23" t="s">
        <v>332</v>
      </c>
      <c r="C654" s="56">
        <v>26.21</v>
      </c>
      <c r="D654" s="56">
        <v>26.21</v>
      </c>
    </row>
    <row r="655" spans="2:5" x14ac:dyDescent="0.2">
      <c r="B655" s="23" t="s">
        <v>331</v>
      </c>
      <c r="C655" s="56">
        <v>108.78</v>
      </c>
      <c r="D655" s="56">
        <v>108.78</v>
      </c>
    </row>
    <row r="656" spans="2:5" x14ac:dyDescent="0.2">
      <c r="B656" s="23" t="s">
        <v>232</v>
      </c>
      <c r="C656" s="56">
        <v>336.02</v>
      </c>
      <c r="D656" s="56">
        <v>336.02</v>
      </c>
    </row>
    <row r="657" spans="2:5" x14ac:dyDescent="0.2">
      <c r="B657" s="23" t="s">
        <v>336</v>
      </c>
      <c r="C657" s="56">
        <v>1544.47</v>
      </c>
      <c r="D657" s="56">
        <v>1544.47</v>
      </c>
    </row>
    <row r="658" spans="2:5" x14ac:dyDescent="0.2">
      <c r="B658" s="23" t="s">
        <v>288</v>
      </c>
      <c r="C658" s="56">
        <v>17.75</v>
      </c>
      <c r="D658" s="56">
        <v>17.75</v>
      </c>
    </row>
    <row r="659" spans="2:5" x14ac:dyDescent="0.2">
      <c r="B659" s="23" t="s">
        <v>440</v>
      </c>
      <c r="C659" s="56">
        <v>279.22000000000003</v>
      </c>
      <c r="D659" s="56">
        <v>279.22000000000003</v>
      </c>
    </row>
    <row r="660" spans="2:5" x14ac:dyDescent="0.2">
      <c r="B660" s="23" t="s">
        <v>290</v>
      </c>
      <c r="C660" s="56">
        <v>43.96</v>
      </c>
      <c r="D660" s="56">
        <v>43.96</v>
      </c>
    </row>
    <row r="661" spans="2:5" x14ac:dyDescent="0.2">
      <c r="B661" s="23" t="s">
        <v>216</v>
      </c>
      <c r="C661" s="56">
        <v>2213.33</v>
      </c>
      <c r="D661" s="56">
        <v>2213.33</v>
      </c>
    </row>
    <row r="662" spans="2:5" x14ac:dyDescent="0.2">
      <c r="B662" s="23" t="s">
        <v>442</v>
      </c>
      <c r="C662" s="56">
        <v>558</v>
      </c>
      <c r="D662" s="56">
        <v>558</v>
      </c>
    </row>
    <row r="663" spans="2:5" x14ac:dyDescent="0.2">
      <c r="B663" s="17" t="s">
        <v>207</v>
      </c>
      <c r="C663" s="56">
        <v>18927.519999999997</v>
      </c>
      <c r="D663" s="57">
        <v>18927.519999999997</v>
      </c>
      <c r="E663" s="44" t="s">
        <v>1532</v>
      </c>
    </row>
    <row r="664" spans="2:5" x14ac:dyDescent="0.2">
      <c r="B664" s="23" t="s">
        <v>199</v>
      </c>
      <c r="C664" s="56">
        <v>5768</v>
      </c>
      <c r="D664" s="56">
        <v>5768</v>
      </c>
    </row>
    <row r="665" spans="2:5" x14ac:dyDescent="0.2">
      <c r="B665" s="23" t="s">
        <v>319</v>
      </c>
      <c r="C665" s="56">
        <v>1124.6400000000001</v>
      </c>
      <c r="D665" s="56">
        <v>1124.6400000000001</v>
      </c>
    </row>
    <row r="666" spans="2:5" x14ac:dyDescent="0.2">
      <c r="B666" s="23" t="s">
        <v>345</v>
      </c>
      <c r="C666" s="56">
        <v>72</v>
      </c>
      <c r="D666" s="56">
        <v>72</v>
      </c>
    </row>
    <row r="667" spans="2:5" x14ac:dyDescent="0.2">
      <c r="B667" s="23" t="s">
        <v>394</v>
      </c>
      <c r="C667" s="56">
        <v>3578.8</v>
      </c>
      <c r="D667" s="56">
        <v>3578.8</v>
      </c>
    </row>
    <row r="668" spans="2:5" x14ac:dyDescent="0.2">
      <c r="B668" s="23" t="s">
        <v>411</v>
      </c>
      <c r="C668" s="56">
        <v>392.16</v>
      </c>
      <c r="D668" s="56">
        <v>392.16</v>
      </c>
    </row>
    <row r="669" spans="2:5" x14ac:dyDescent="0.2">
      <c r="B669" s="23" t="s">
        <v>416</v>
      </c>
      <c r="C669" s="56">
        <v>4290</v>
      </c>
      <c r="D669" s="56">
        <v>4290</v>
      </c>
    </row>
    <row r="670" spans="2:5" x14ac:dyDescent="0.2">
      <c r="B670" s="23" t="s">
        <v>445</v>
      </c>
      <c r="C670" s="56">
        <v>2632.72</v>
      </c>
      <c r="D670" s="56">
        <v>2632.72</v>
      </c>
    </row>
    <row r="671" spans="2:5" x14ac:dyDescent="0.2">
      <c r="B671" s="23" t="s">
        <v>450</v>
      </c>
      <c r="C671" s="56">
        <v>841.6</v>
      </c>
      <c r="D671" s="56">
        <v>841.6</v>
      </c>
    </row>
    <row r="672" spans="2:5" x14ac:dyDescent="0.2">
      <c r="B672" s="23" t="s">
        <v>491</v>
      </c>
      <c r="C672" s="56">
        <v>227.6</v>
      </c>
      <c r="D672" s="56">
        <v>227.6</v>
      </c>
    </row>
    <row r="673" spans="2:5" x14ac:dyDescent="0.2">
      <c r="B673" s="23" t="s">
        <v>455</v>
      </c>
      <c r="C673" s="56">
        <v>0</v>
      </c>
      <c r="D673" s="56">
        <v>0</v>
      </c>
    </row>
    <row r="674" spans="2:5" x14ac:dyDescent="0.2">
      <c r="B674" s="17" t="s">
        <v>162</v>
      </c>
      <c r="C674" s="56">
        <v>41500.400000000001</v>
      </c>
      <c r="D674" s="57">
        <v>41500.400000000001</v>
      </c>
      <c r="E674" s="44" t="s">
        <v>1532</v>
      </c>
    </row>
    <row r="675" spans="2:5" x14ac:dyDescent="0.2">
      <c r="B675" s="23" t="s">
        <v>159</v>
      </c>
      <c r="C675" s="56">
        <v>0</v>
      </c>
      <c r="D675" s="56">
        <v>0</v>
      </c>
    </row>
    <row r="676" spans="2:5" x14ac:dyDescent="0.2">
      <c r="B676" s="23" t="s">
        <v>225</v>
      </c>
      <c r="C676" s="56">
        <v>0</v>
      </c>
      <c r="D676" s="56">
        <v>0</v>
      </c>
    </row>
    <row r="677" spans="2:5" x14ac:dyDescent="0.2">
      <c r="B677" s="23" t="s">
        <v>305</v>
      </c>
      <c r="C677" s="56">
        <v>0</v>
      </c>
      <c r="D677" s="56">
        <v>0</v>
      </c>
    </row>
    <row r="678" spans="2:5" x14ac:dyDescent="0.2">
      <c r="B678" s="23" t="s">
        <v>309</v>
      </c>
      <c r="C678" s="56">
        <v>0</v>
      </c>
      <c r="D678" s="56">
        <v>0</v>
      </c>
    </row>
    <row r="679" spans="2:5" x14ac:dyDescent="0.2">
      <c r="B679" s="23" t="s">
        <v>427</v>
      </c>
      <c r="C679" s="56">
        <v>16800</v>
      </c>
      <c r="D679" s="56">
        <v>16800</v>
      </c>
    </row>
    <row r="680" spans="2:5" x14ac:dyDescent="0.2">
      <c r="B680" s="23" t="s">
        <v>191</v>
      </c>
      <c r="C680" s="56">
        <v>4504.9799999999996</v>
      </c>
      <c r="D680" s="56">
        <v>4504.9799999999996</v>
      </c>
    </row>
    <row r="681" spans="2:5" x14ac:dyDescent="0.2">
      <c r="B681" s="23" t="s">
        <v>212</v>
      </c>
      <c r="C681" s="56">
        <v>4829.8</v>
      </c>
      <c r="D681" s="56">
        <v>4829.8</v>
      </c>
    </row>
    <row r="682" spans="2:5" x14ac:dyDescent="0.2">
      <c r="B682" s="23" t="s">
        <v>257</v>
      </c>
      <c r="C682" s="56">
        <v>8836</v>
      </c>
      <c r="D682" s="56">
        <v>8836</v>
      </c>
    </row>
    <row r="683" spans="2:5" x14ac:dyDescent="0.2">
      <c r="B683" s="23" t="s">
        <v>263</v>
      </c>
      <c r="C683" s="56">
        <v>4309.26</v>
      </c>
      <c r="D683" s="56">
        <v>4309.26</v>
      </c>
    </row>
    <row r="684" spans="2:5" x14ac:dyDescent="0.2">
      <c r="B684" s="23" t="s">
        <v>264</v>
      </c>
      <c r="C684" s="56">
        <v>2216.9</v>
      </c>
      <c r="D684" s="56">
        <v>2216.9</v>
      </c>
    </row>
    <row r="685" spans="2:5" x14ac:dyDescent="0.2">
      <c r="B685" s="23" t="s">
        <v>321</v>
      </c>
      <c r="C685" s="56">
        <v>3.46</v>
      </c>
      <c r="D685" s="56">
        <v>3.46</v>
      </c>
    </row>
    <row r="686" spans="2:5" x14ac:dyDescent="0.2">
      <c r="B686" s="17" t="s">
        <v>163</v>
      </c>
      <c r="C686" s="56">
        <v>1323.12</v>
      </c>
      <c r="D686" s="57">
        <v>1323.12</v>
      </c>
      <c r="E686" s="44" t="s">
        <v>1532</v>
      </c>
    </row>
    <row r="687" spans="2:5" x14ac:dyDescent="0.2">
      <c r="B687" s="23" t="s">
        <v>159</v>
      </c>
      <c r="C687" s="56">
        <v>0</v>
      </c>
      <c r="D687" s="56">
        <v>0</v>
      </c>
    </row>
    <row r="688" spans="2:5" x14ac:dyDescent="0.2">
      <c r="B688" s="23" t="s">
        <v>225</v>
      </c>
      <c r="C688" s="56">
        <v>0</v>
      </c>
      <c r="D688" s="56">
        <v>0</v>
      </c>
    </row>
    <row r="689" spans="2:5" x14ac:dyDescent="0.2">
      <c r="B689" s="23" t="s">
        <v>305</v>
      </c>
      <c r="C689" s="56">
        <v>0</v>
      </c>
      <c r="D689" s="56">
        <v>0</v>
      </c>
    </row>
    <row r="690" spans="2:5" x14ac:dyDescent="0.2">
      <c r="B690" s="23" t="s">
        <v>309</v>
      </c>
      <c r="C690" s="56">
        <v>0</v>
      </c>
      <c r="D690" s="56">
        <v>0</v>
      </c>
    </row>
    <row r="691" spans="2:5" x14ac:dyDescent="0.2">
      <c r="B691" s="23" t="s">
        <v>433</v>
      </c>
      <c r="C691" s="56">
        <v>2.4</v>
      </c>
      <c r="D691" s="56">
        <v>2.4</v>
      </c>
    </row>
    <row r="692" spans="2:5" x14ac:dyDescent="0.2">
      <c r="B692" s="23" t="s">
        <v>422</v>
      </c>
      <c r="C692" s="56">
        <v>243.6</v>
      </c>
      <c r="D692" s="56">
        <v>243.6</v>
      </c>
    </row>
    <row r="693" spans="2:5" x14ac:dyDescent="0.2">
      <c r="B693" s="23" t="s">
        <v>424</v>
      </c>
      <c r="C693" s="56">
        <v>1041.5999999999999</v>
      </c>
      <c r="D693" s="56">
        <v>1041.5999999999999</v>
      </c>
    </row>
    <row r="694" spans="2:5" x14ac:dyDescent="0.2">
      <c r="B694" s="23" t="s">
        <v>434</v>
      </c>
      <c r="C694" s="56">
        <v>10.94</v>
      </c>
      <c r="D694" s="56">
        <v>10.94</v>
      </c>
    </row>
    <row r="695" spans="2:5" x14ac:dyDescent="0.2">
      <c r="B695" s="23" t="s">
        <v>431</v>
      </c>
      <c r="C695" s="56">
        <v>24.58</v>
      </c>
      <c r="D695" s="56">
        <v>24.58</v>
      </c>
    </row>
    <row r="696" spans="2:5" x14ac:dyDescent="0.2">
      <c r="B696" s="17" t="s">
        <v>200</v>
      </c>
      <c r="C696" s="56">
        <v>0</v>
      </c>
      <c r="D696" s="57">
        <v>0</v>
      </c>
      <c r="E696" s="44" t="s">
        <v>1532</v>
      </c>
    </row>
    <row r="697" spans="2:5" x14ac:dyDescent="0.2">
      <c r="B697" s="23" t="s">
        <v>199</v>
      </c>
      <c r="C697" s="56">
        <v>0</v>
      </c>
      <c r="D697" s="56">
        <v>0</v>
      </c>
    </row>
    <row r="698" spans="2:5" x14ac:dyDescent="0.2">
      <c r="B698" s="17" t="s">
        <v>234</v>
      </c>
      <c r="C698" s="56">
        <v>3774.93</v>
      </c>
      <c r="D698" s="57">
        <v>3774.93</v>
      </c>
      <c r="E698" s="44" t="s">
        <v>1532</v>
      </c>
    </row>
    <row r="699" spans="2:5" x14ac:dyDescent="0.2">
      <c r="B699" s="23" t="s">
        <v>217</v>
      </c>
      <c r="C699" s="56">
        <v>134.12</v>
      </c>
      <c r="D699" s="56">
        <v>134.12</v>
      </c>
    </row>
    <row r="700" spans="2:5" x14ac:dyDescent="0.2">
      <c r="B700" s="23" t="s">
        <v>178</v>
      </c>
      <c r="C700" s="56">
        <v>123.09</v>
      </c>
      <c r="D700" s="56">
        <v>123.09</v>
      </c>
    </row>
    <row r="701" spans="2:5" x14ac:dyDescent="0.2">
      <c r="B701" s="23" t="s">
        <v>440</v>
      </c>
      <c r="C701" s="56">
        <v>3130.8199999999997</v>
      </c>
      <c r="D701" s="56">
        <v>3130.8199999999997</v>
      </c>
    </row>
    <row r="702" spans="2:5" x14ac:dyDescent="0.2">
      <c r="B702" s="23" t="s">
        <v>460</v>
      </c>
      <c r="C702" s="56">
        <v>386.9</v>
      </c>
      <c r="D702" s="56">
        <v>386.9</v>
      </c>
    </row>
    <row r="703" spans="2:5" x14ac:dyDescent="0.2">
      <c r="B703" s="17" t="s">
        <v>481</v>
      </c>
      <c r="C703" s="56">
        <v>98.759999999999991</v>
      </c>
      <c r="D703" s="57">
        <v>98.759999999999991</v>
      </c>
      <c r="E703" s="44" t="s">
        <v>1532</v>
      </c>
    </row>
    <row r="704" spans="2:5" x14ac:dyDescent="0.2">
      <c r="B704" s="23" t="s">
        <v>484</v>
      </c>
      <c r="C704" s="56">
        <v>46.05</v>
      </c>
      <c r="D704" s="56">
        <v>46.05</v>
      </c>
    </row>
    <row r="705" spans="2:5" x14ac:dyDescent="0.2">
      <c r="B705" s="23" t="s">
        <v>486</v>
      </c>
      <c r="C705" s="56">
        <v>52.71</v>
      </c>
      <c r="D705" s="56">
        <v>52.71</v>
      </c>
    </row>
    <row r="706" spans="2:5" x14ac:dyDescent="0.2">
      <c r="B706" s="17" t="s">
        <v>148</v>
      </c>
      <c r="C706" s="56">
        <v>1175.0999999999997</v>
      </c>
      <c r="D706" s="57">
        <v>1175.0999999999997</v>
      </c>
      <c r="E706" s="44" t="s">
        <v>1532</v>
      </c>
    </row>
    <row r="707" spans="2:5" x14ac:dyDescent="0.2">
      <c r="B707" s="23" t="s">
        <v>217</v>
      </c>
      <c r="C707" s="56">
        <v>61.08</v>
      </c>
      <c r="D707" s="56">
        <v>61.08</v>
      </c>
    </row>
    <row r="708" spans="2:5" x14ac:dyDescent="0.2">
      <c r="B708" s="23" t="s">
        <v>178</v>
      </c>
      <c r="C708" s="56">
        <v>998.01999999999975</v>
      </c>
      <c r="D708" s="56">
        <v>998.01999999999975</v>
      </c>
    </row>
    <row r="709" spans="2:5" x14ac:dyDescent="0.2">
      <c r="B709" s="23" t="s">
        <v>152</v>
      </c>
      <c r="C709" s="56">
        <v>116</v>
      </c>
      <c r="D709" s="56">
        <v>116</v>
      </c>
    </row>
    <row r="710" spans="2:5" x14ac:dyDescent="0.2">
      <c r="B710" s="17" t="s">
        <v>235</v>
      </c>
      <c r="C710" s="56">
        <v>2606.2600000000002</v>
      </c>
      <c r="D710" s="57">
        <v>2606.2600000000002</v>
      </c>
      <c r="E710" s="44" t="s">
        <v>1532</v>
      </c>
    </row>
    <row r="711" spans="2:5" x14ac:dyDescent="0.2">
      <c r="B711" s="23" t="s">
        <v>240</v>
      </c>
      <c r="C711" s="56">
        <v>2606.2600000000002</v>
      </c>
      <c r="D711" s="56">
        <v>2606.2600000000002</v>
      </c>
    </row>
    <row r="712" spans="2:5" x14ac:dyDescent="0.2">
      <c r="B712" s="17" t="s">
        <v>402</v>
      </c>
      <c r="C712" s="56">
        <v>164.82</v>
      </c>
      <c r="D712" s="57">
        <v>164.82</v>
      </c>
      <c r="E712" s="44" t="s">
        <v>1532</v>
      </c>
    </row>
    <row r="713" spans="2:5" x14ac:dyDescent="0.2">
      <c r="B713" s="23" t="s">
        <v>405</v>
      </c>
      <c r="C713" s="56">
        <v>164.82</v>
      </c>
      <c r="D713" s="56">
        <v>164.82</v>
      </c>
    </row>
    <row r="714" spans="2:5" x14ac:dyDescent="0.2">
      <c r="B714" s="17" t="s">
        <v>418</v>
      </c>
      <c r="C714" s="56">
        <v>1790.1599999999999</v>
      </c>
      <c r="D714" s="57">
        <v>1790.1599999999999</v>
      </c>
      <c r="E714" s="44" t="s">
        <v>1532</v>
      </c>
    </row>
    <row r="715" spans="2:5" x14ac:dyDescent="0.2">
      <c r="B715" s="23" t="s">
        <v>416</v>
      </c>
      <c r="C715" s="56">
        <v>1200</v>
      </c>
      <c r="D715" s="56">
        <v>1200</v>
      </c>
    </row>
    <row r="716" spans="2:5" x14ac:dyDescent="0.2">
      <c r="B716" s="23" t="s">
        <v>491</v>
      </c>
      <c r="C716" s="56">
        <v>590.16</v>
      </c>
      <c r="D716" s="56">
        <v>590.16</v>
      </c>
    </row>
    <row r="717" spans="2:5" x14ac:dyDescent="0.2">
      <c r="B717" s="23" t="s">
        <v>455</v>
      </c>
      <c r="C717" s="56">
        <v>0</v>
      </c>
      <c r="D717" s="56">
        <v>0</v>
      </c>
    </row>
    <row r="718" spans="2:5" x14ac:dyDescent="0.2">
      <c r="B718" s="17" t="s">
        <v>164</v>
      </c>
      <c r="C718" s="56">
        <v>11339.94</v>
      </c>
      <c r="D718" s="57">
        <v>11339.94</v>
      </c>
      <c r="E718" s="44" t="s">
        <v>1532</v>
      </c>
    </row>
    <row r="719" spans="2:5" x14ac:dyDescent="0.2">
      <c r="B719" s="23" t="s">
        <v>159</v>
      </c>
      <c r="C719" s="56">
        <v>0</v>
      </c>
      <c r="D719" s="56">
        <v>0</v>
      </c>
    </row>
    <row r="720" spans="2:5" x14ac:dyDescent="0.2">
      <c r="B720" s="23" t="s">
        <v>225</v>
      </c>
      <c r="C720" s="56">
        <v>0</v>
      </c>
      <c r="D720" s="56">
        <v>0</v>
      </c>
    </row>
    <row r="721" spans="2:5" x14ac:dyDescent="0.2">
      <c r="B721" s="23" t="s">
        <v>305</v>
      </c>
      <c r="C721" s="56">
        <v>0</v>
      </c>
      <c r="D721" s="56">
        <v>0</v>
      </c>
    </row>
    <row r="722" spans="2:5" x14ac:dyDescent="0.2">
      <c r="B722" s="23" t="s">
        <v>309</v>
      </c>
      <c r="C722" s="56">
        <v>0</v>
      </c>
      <c r="D722" s="56">
        <v>0</v>
      </c>
    </row>
    <row r="723" spans="2:5" x14ac:dyDescent="0.2">
      <c r="B723" s="23" t="s">
        <v>427</v>
      </c>
      <c r="C723" s="56">
        <v>5200</v>
      </c>
      <c r="D723" s="56">
        <v>5200</v>
      </c>
    </row>
    <row r="724" spans="2:5" x14ac:dyDescent="0.2">
      <c r="B724" s="23" t="s">
        <v>191</v>
      </c>
      <c r="C724" s="56">
        <v>1189.78</v>
      </c>
      <c r="D724" s="56">
        <v>1189.78</v>
      </c>
    </row>
    <row r="725" spans="2:5" x14ac:dyDescent="0.2">
      <c r="B725" s="23" t="s">
        <v>212</v>
      </c>
      <c r="C725" s="56">
        <v>1034.18</v>
      </c>
      <c r="D725" s="56">
        <v>1034.18</v>
      </c>
    </row>
    <row r="726" spans="2:5" x14ac:dyDescent="0.2">
      <c r="B726" s="23" t="s">
        <v>257</v>
      </c>
      <c r="C726" s="56">
        <v>2274.1999999999998</v>
      </c>
      <c r="D726" s="56">
        <v>2274.1999999999998</v>
      </c>
    </row>
    <row r="727" spans="2:5" x14ac:dyDescent="0.2">
      <c r="B727" s="23" t="s">
        <v>263</v>
      </c>
      <c r="C727" s="56">
        <v>1070.3399999999999</v>
      </c>
      <c r="D727" s="56">
        <v>1070.3399999999999</v>
      </c>
    </row>
    <row r="728" spans="2:5" x14ac:dyDescent="0.2">
      <c r="B728" s="23" t="s">
        <v>264</v>
      </c>
      <c r="C728" s="56">
        <v>571.44000000000005</v>
      </c>
      <c r="D728" s="56">
        <v>571.44000000000005</v>
      </c>
    </row>
    <row r="729" spans="2:5" x14ac:dyDescent="0.2">
      <c r="B729" s="17" t="s">
        <v>165</v>
      </c>
      <c r="C729" s="56">
        <v>413.69</v>
      </c>
      <c r="D729" s="57">
        <v>413.69</v>
      </c>
      <c r="E729" s="44" t="s">
        <v>1532</v>
      </c>
    </row>
    <row r="730" spans="2:5" x14ac:dyDescent="0.2">
      <c r="B730" s="23" t="s">
        <v>159</v>
      </c>
      <c r="C730" s="56">
        <v>0</v>
      </c>
      <c r="D730" s="56">
        <v>0</v>
      </c>
    </row>
    <row r="731" spans="2:5" x14ac:dyDescent="0.2">
      <c r="B731" s="23" t="s">
        <v>225</v>
      </c>
      <c r="C731" s="56">
        <v>0</v>
      </c>
      <c r="D731" s="56">
        <v>0</v>
      </c>
    </row>
    <row r="732" spans="2:5" x14ac:dyDescent="0.2">
      <c r="B732" s="23" t="s">
        <v>305</v>
      </c>
      <c r="C732" s="56">
        <v>0</v>
      </c>
      <c r="D732" s="56">
        <v>0</v>
      </c>
    </row>
    <row r="733" spans="2:5" x14ac:dyDescent="0.2">
      <c r="B733" s="23" t="s">
        <v>309</v>
      </c>
      <c r="C733" s="56">
        <v>0</v>
      </c>
      <c r="D733" s="56">
        <v>0</v>
      </c>
    </row>
    <row r="734" spans="2:5" x14ac:dyDescent="0.2">
      <c r="B734" s="23" t="s">
        <v>433</v>
      </c>
      <c r="C734" s="56">
        <v>2.4</v>
      </c>
      <c r="D734" s="56">
        <v>2.4</v>
      </c>
    </row>
    <row r="735" spans="2:5" x14ac:dyDescent="0.2">
      <c r="B735" s="23" t="s">
        <v>422</v>
      </c>
      <c r="C735" s="56">
        <v>75.400000000000006</v>
      </c>
      <c r="D735" s="56">
        <v>75.400000000000006</v>
      </c>
    </row>
    <row r="736" spans="2:5" x14ac:dyDescent="0.2">
      <c r="B736" s="23" t="s">
        <v>424</v>
      </c>
      <c r="C736" s="56">
        <v>322.39999999999998</v>
      </c>
      <c r="D736" s="56">
        <v>322.39999999999998</v>
      </c>
    </row>
    <row r="737" spans="2:5" x14ac:dyDescent="0.2">
      <c r="B737" s="23" t="s">
        <v>434</v>
      </c>
      <c r="C737" s="56">
        <v>5.88</v>
      </c>
      <c r="D737" s="56">
        <v>5.88</v>
      </c>
    </row>
    <row r="738" spans="2:5" x14ac:dyDescent="0.2">
      <c r="B738" s="23" t="s">
        <v>431</v>
      </c>
      <c r="C738" s="56">
        <v>7.61</v>
      </c>
      <c r="D738" s="56">
        <v>7.61</v>
      </c>
    </row>
    <row r="739" spans="2:5" x14ac:dyDescent="0.2">
      <c r="B739" s="17" t="s">
        <v>407</v>
      </c>
      <c r="C739" s="56">
        <v>638.25</v>
      </c>
      <c r="D739" s="57">
        <v>638.25</v>
      </c>
      <c r="E739" s="44" t="s">
        <v>1532</v>
      </c>
    </row>
    <row r="740" spans="2:5" x14ac:dyDescent="0.2">
      <c r="B740" s="23" t="s">
        <v>408</v>
      </c>
      <c r="C740" s="56">
        <v>251.36</v>
      </c>
      <c r="D740" s="56">
        <v>251.36</v>
      </c>
    </row>
    <row r="741" spans="2:5" x14ac:dyDescent="0.2">
      <c r="B741" s="23" t="s">
        <v>460</v>
      </c>
      <c r="C741" s="56">
        <v>386.89</v>
      </c>
      <c r="D741" s="56">
        <v>386.89</v>
      </c>
    </row>
    <row r="742" spans="2:5" x14ac:dyDescent="0.2">
      <c r="B742" s="17" t="s">
        <v>166</v>
      </c>
      <c r="C742" s="56">
        <v>4300</v>
      </c>
      <c r="D742" s="57">
        <v>4300</v>
      </c>
      <c r="E742" s="44" t="s">
        <v>1532</v>
      </c>
    </row>
    <row r="743" spans="2:5" x14ac:dyDescent="0.2">
      <c r="B743" s="23" t="s">
        <v>159</v>
      </c>
      <c r="C743" s="56">
        <v>0</v>
      </c>
      <c r="D743" s="56">
        <v>0</v>
      </c>
    </row>
    <row r="744" spans="2:5" x14ac:dyDescent="0.2">
      <c r="B744" s="23" t="s">
        <v>225</v>
      </c>
      <c r="C744" s="56">
        <v>0</v>
      </c>
      <c r="D744" s="56">
        <v>0</v>
      </c>
    </row>
    <row r="745" spans="2:5" x14ac:dyDescent="0.2">
      <c r="B745" s="23" t="s">
        <v>305</v>
      </c>
      <c r="C745" s="56">
        <v>0</v>
      </c>
      <c r="D745" s="56">
        <v>0</v>
      </c>
    </row>
    <row r="746" spans="2:5" x14ac:dyDescent="0.2">
      <c r="B746" s="23" t="s">
        <v>309</v>
      </c>
      <c r="C746" s="56">
        <v>0</v>
      </c>
      <c r="D746" s="56">
        <v>0</v>
      </c>
    </row>
    <row r="747" spans="2:5" x14ac:dyDescent="0.2">
      <c r="B747" s="23" t="s">
        <v>427</v>
      </c>
      <c r="C747" s="56">
        <v>800</v>
      </c>
      <c r="D747" s="56">
        <v>800</v>
      </c>
    </row>
    <row r="748" spans="2:5" x14ac:dyDescent="0.2">
      <c r="B748" s="23" t="s">
        <v>191</v>
      </c>
      <c r="C748" s="56">
        <v>500</v>
      </c>
      <c r="D748" s="56">
        <v>500</v>
      </c>
    </row>
    <row r="749" spans="2:5" x14ac:dyDescent="0.2">
      <c r="B749" s="23" t="s">
        <v>212</v>
      </c>
      <c r="C749" s="56">
        <v>500</v>
      </c>
      <c r="D749" s="56">
        <v>500</v>
      </c>
    </row>
    <row r="750" spans="2:5" x14ac:dyDescent="0.2">
      <c r="B750" s="23" t="s">
        <v>257</v>
      </c>
      <c r="C750" s="56">
        <v>1750</v>
      </c>
      <c r="D750" s="56">
        <v>1750</v>
      </c>
    </row>
    <row r="751" spans="2:5" x14ac:dyDescent="0.2">
      <c r="B751" s="23" t="s">
        <v>263</v>
      </c>
      <c r="C751" s="56">
        <v>500</v>
      </c>
      <c r="D751" s="56">
        <v>500</v>
      </c>
    </row>
    <row r="752" spans="2:5" x14ac:dyDescent="0.2">
      <c r="B752" s="23" t="s">
        <v>264</v>
      </c>
      <c r="C752" s="56">
        <v>250</v>
      </c>
      <c r="D752" s="56">
        <v>250</v>
      </c>
    </row>
    <row r="753" spans="2:5" x14ac:dyDescent="0.2">
      <c r="B753" s="17" t="s">
        <v>201</v>
      </c>
      <c r="C753" s="56">
        <v>4175</v>
      </c>
      <c r="D753" s="57">
        <v>4175</v>
      </c>
      <c r="E753" s="44" t="s">
        <v>1532</v>
      </c>
    </row>
    <row r="754" spans="2:5" x14ac:dyDescent="0.2">
      <c r="B754" s="23" t="s">
        <v>427</v>
      </c>
      <c r="C754" s="56">
        <v>800</v>
      </c>
      <c r="D754" s="56">
        <v>800</v>
      </c>
    </row>
    <row r="755" spans="2:5" x14ac:dyDescent="0.2">
      <c r="B755" s="23" t="s">
        <v>191</v>
      </c>
      <c r="C755" s="56">
        <v>750</v>
      </c>
      <c r="D755" s="56">
        <v>750</v>
      </c>
    </row>
    <row r="756" spans="2:5" x14ac:dyDescent="0.2">
      <c r="B756" s="23" t="s">
        <v>212</v>
      </c>
      <c r="C756" s="56">
        <v>750</v>
      </c>
      <c r="D756" s="56">
        <v>750</v>
      </c>
    </row>
    <row r="757" spans="2:5" x14ac:dyDescent="0.2">
      <c r="B757" s="23" t="s">
        <v>257</v>
      </c>
      <c r="C757" s="56">
        <v>750</v>
      </c>
      <c r="D757" s="56">
        <v>750</v>
      </c>
    </row>
    <row r="758" spans="2:5" x14ac:dyDescent="0.2">
      <c r="B758" s="23" t="s">
        <v>263</v>
      </c>
      <c r="C758" s="56">
        <v>750</v>
      </c>
      <c r="D758" s="56">
        <v>750</v>
      </c>
    </row>
    <row r="759" spans="2:5" x14ac:dyDescent="0.2">
      <c r="B759" s="23" t="s">
        <v>264</v>
      </c>
      <c r="C759" s="56">
        <v>375</v>
      </c>
      <c r="D759" s="56">
        <v>375</v>
      </c>
    </row>
    <row r="760" spans="2:5" x14ac:dyDescent="0.2">
      <c r="B760" s="17" t="s">
        <v>167</v>
      </c>
      <c r="C760" s="56">
        <v>124.74000000000001</v>
      </c>
      <c r="D760" s="57">
        <v>124.74000000000001</v>
      </c>
      <c r="E760" s="44" t="s">
        <v>1532</v>
      </c>
    </row>
    <row r="761" spans="2:5" x14ac:dyDescent="0.2">
      <c r="B761" s="23" t="s">
        <v>159</v>
      </c>
      <c r="C761" s="56">
        <v>0</v>
      </c>
      <c r="D761" s="56">
        <v>0</v>
      </c>
    </row>
    <row r="762" spans="2:5" x14ac:dyDescent="0.2">
      <c r="B762" s="23" t="s">
        <v>225</v>
      </c>
      <c r="C762" s="56">
        <v>0</v>
      </c>
      <c r="D762" s="56">
        <v>0</v>
      </c>
    </row>
    <row r="763" spans="2:5" x14ac:dyDescent="0.2">
      <c r="B763" s="23" t="s">
        <v>305</v>
      </c>
      <c r="C763" s="56">
        <v>0</v>
      </c>
      <c r="D763" s="56">
        <v>0</v>
      </c>
    </row>
    <row r="764" spans="2:5" x14ac:dyDescent="0.2">
      <c r="B764" s="23" t="s">
        <v>309</v>
      </c>
      <c r="C764" s="56">
        <v>0</v>
      </c>
      <c r="D764" s="56">
        <v>0</v>
      </c>
    </row>
    <row r="765" spans="2:5" x14ac:dyDescent="0.2">
      <c r="B765" s="23" t="s">
        <v>422</v>
      </c>
      <c r="C765" s="56">
        <v>23.2</v>
      </c>
      <c r="D765" s="56">
        <v>23.2</v>
      </c>
    </row>
    <row r="766" spans="2:5" x14ac:dyDescent="0.2">
      <c r="B766" s="23" t="s">
        <v>424</v>
      </c>
      <c r="C766" s="56">
        <v>99.2</v>
      </c>
      <c r="D766" s="56">
        <v>99.2</v>
      </c>
    </row>
    <row r="767" spans="2:5" x14ac:dyDescent="0.2">
      <c r="B767" s="23" t="s">
        <v>431</v>
      </c>
      <c r="C767" s="56">
        <v>2.34</v>
      </c>
      <c r="D767" s="56">
        <v>2.34</v>
      </c>
    </row>
    <row r="768" spans="2:5" x14ac:dyDescent="0.2">
      <c r="B768" s="17" t="s">
        <v>487</v>
      </c>
      <c r="C768" s="56">
        <v>42.86</v>
      </c>
      <c r="D768" s="57">
        <v>42.86</v>
      </c>
      <c r="E768" s="44" t="s">
        <v>1532</v>
      </c>
    </row>
    <row r="769" spans="2:5" x14ac:dyDescent="0.2">
      <c r="B769" s="23" t="s">
        <v>488</v>
      </c>
      <c r="C769" s="56">
        <v>42.86</v>
      </c>
      <c r="D769" s="56">
        <v>42.86</v>
      </c>
    </row>
    <row r="770" spans="2:5" x14ac:dyDescent="0.2">
      <c r="B770" s="17" t="s">
        <v>218</v>
      </c>
      <c r="C770" s="56">
        <v>5013.8999999999996</v>
      </c>
      <c r="D770" s="57">
        <v>5013.8999999999996</v>
      </c>
      <c r="E770" s="44" t="s">
        <v>1532</v>
      </c>
    </row>
    <row r="771" spans="2:5" x14ac:dyDescent="0.2">
      <c r="B771" s="23" t="s">
        <v>369</v>
      </c>
      <c r="C771" s="56">
        <v>-166.28</v>
      </c>
      <c r="D771" s="56">
        <v>-166.28</v>
      </c>
    </row>
    <row r="772" spans="2:5" x14ac:dyDescent="0.2">
      <c r="B772" s="23" t="s">
        <v>228</v>
      </c>
      <c r="C772" s="56">
        <v>-3219.91</v>
      </c>
      <c r="D772" s="56">
        <v>-3219.91</v>
      </c>
    </row>
    <row r="773" spans="2:5" x14ac:dyDescent="0.2">
      <c r="B773" s="23" t="s">
        <v>333</v>
      </c>
      <c r="C773" s="56">
        <v>490.9</v>
      </c>
      <c r="D773" s="56">
        <v>490.9</v>
      </c>
    </row>
    <row r="774" spans="2:5" x14ac:dyDescent="0.2">
      <c r="B774" s="23" t="s">
        <v>291</v>
      </c>
      <c r="C774" s="56">
        <v>3110.02</v>
      </c>
      <c r="D774" s="56">
        <v>3110.02</v>
      </c>
    </row>
    <row r="775" spans="2:5" x14ac:dyDescent="0.2">
      <c r="B775" s="23" t="s">
        <v>338</v>
      </c>
      <c r="C775" s="56">
        <v>931.67</v>
      </c>
      <c r="D775" s="56">
        <v>931.67</v>
      </c>
    </row>
    <row r="776" spans="2:5" x14ac:dyDescent="0.2">
      <c r="B776" s="23" t="s">
        <v>336</v>
      </c>
      <c r="C776" s="56">
        <v>42</v>
      </c>
      <c r="D776" s="56">
        <v>42</v>
      </c>
    </row>
    <row r="777" spans="2:5" x14ac:dyDescent="0.2">
      <c r="B777" s="23" t="s">
        <v>216</v>
      </c>
      <c r="C777" s="56">
        <v>3825.5</v>
      </c>
      <c r="D777" s="56">
        <v>3825.5</v>
      </c>
    </row>
    <row r="778" spans="2:5" x14ac:dyDescent="0.2">
      <c r="B778" s="17" t="s">
        <v>292</v>
      </c>
      <c r="C778" s="56">
        <v>1397.9999999999998</v>
      </c>
      <c r="D778" s="57">
        <v>1397.9999999999998</v>
      </c>
      <c r="E778" s="44" t="s">
        <v>1532</v>
      </c>
    </row>
    <row r="779" spans="2:5" x14ac:dyDescent="0.2">
      <c r="B779" s="23" t="s">
        <v>468</v>
      </c>
      <c r="C779" s="56">
        <v>28.73</v>
      </c>
      <c r="D779" s="56">
        <v>28.73</v>
      </c>
    </row>
    <row r="780" spans="2:5" x14ac:dyDescent="0.2">
      <c r="B780" s="23" t="s">
        <v>295</v>
      </c>
      <c r="C780" s="56">
        <v>175.56</v>
      </c>
      <c r="D780" s="56">
        <v>175.56</v>
      </c>
    </row>
    <row r="781" spans="2:5" x14ac:dyDescent="0.2">
      <c r="B781" s="23" t="s">
        <v>293</v>
      </c>
      <c r="C781" s="56">
        <v>112.53</v>
      </c>
      <c r="D781" s="56">
        <v>112.53</v>
      </c>
    </row>
    <row r="782" spans="2:5" x14ac:dyDescent="0.2">
      <c r="B782" s="23" t="s">
        <v>294</v>
      </c>
      <c r="C782" s="56">
        <v>141.28</v>
      </c>
      <c r="D782" s="56">
        <v>141.28</v>
      </c>
    </row>
    <row r="783" spans="2:5" x14ac:dyDescent="0.2">
      <c r="B783" s="23" t="s">
        <v>296</v>
      </c>
      <c r="C783" s="56">
        <v>62.9</v>
      </c>
      <c r="D783" s="56">
        <v>62.9</v>
      </c>
    </row>
    <row r="784" spans="2:5" x14ac:dyDescent="0.2">
      <c r="B784" s="23" t="s">
        <v>298</v>
      </c>
      <c r="C784" s="56">
        <v>617.67999999999995</v>
      </c>
      <c r="D784" s="56">
        <v>617.67999999999995</v>
      </c>
    </row>
    <row r="785" spans="2:5" x14ac:dyDescent="0.2">
      <c r="B785" s="23" t="s">
        <v>297</v>
      </c>
      <c r="C785" s="56">
        <v>259.32</v>
      </c>
      <c r="D785" s="56">
        <v>259.32</v>
      </c>
    </row>
    <row r="786" spans="2:5" x14ac:dyDescent="0.2">
      <c r="B786" s="17" t="s">
        <v>457</v>
      </c>
      <c r="C786" s="56">
        <v>908.85</v>
      </c>
      <c r="D786" s="57">
        <v>908.85</v>
      </c>
      <c r="E786" s="44" t="s">
        <v>1533</v>
      </c>
    </row>
    <row r="787" spans="2:5" x14ac:dyDescent="0.2">
      <c r="B787" s="23" t="s">
        <v>491</v>
      </c>
      <c r="C787" s="56">
        <v>680</v>
      </c>
      <c r="D787" s="56">
        <v>680</v>
      </c>
    </row>
    <row r="788" spans="2:5" x14ac:dyDescent="0.2">
      <c r="B788" s="23" t="s">
        <v>510</v>
      </c>
      <c r="C788" s="56">
        <v>228.85</v>
      </c>
      <c r="D788" s="56">
        <v>228.85</v>
      </c>
    </row>
    <row r="789" spans="2:5" x14ac:dyDescent="0.2">
      <c r="B789" s="23" t="s">
        <v>455</v>
      </c>
      <c r="C789" s="56">
        <v>0</v>
      </c>
      <c r="D789" s="56">
        <v>0</v>
      </c>
    </row>
    <row r="790" spans="2:5" x14ac:dyDescent="0.2">
      <c r="B790" s="23" t="s">
        <v>501</v>
      </c>
      <c r="C790" s="56">
        <v>0</v>
      </c>
      <c r="D790" s="56">
        <v>0</v>
      </c>
    </row>
    <row r="791" spans="2:5" x14ac:dyDescent="0.2">
      <c r="B791" s="17" t="s">
        <v>168</v>
      </c>
      <c r="C791" s="56">
        <v>32660.859999999997</v>
      </c>
      <c r="D791" s="57">
        <v>32660.859999999997</v>
      </c>
      <c r="E791" s="44" t="s">
        <v>1533</v>
      </c>
    </row>
    <row r="792" spans="2:5" x14ac:dyDescent="0.2">
      <c r="B792" s="23" t="s">
        <v>159</v>
      </c>
      <c r="C792" s="56">
        <v>0</v>
      </c>
      <c r="D792" s="56">
        <v>0</v>
      </c>
    </row>
    <row r="793" spans="2:5" x14ac:dyDescent="0.2">
      <c r="B793" s="23" t="s">
        <v>225</v>
      </c>
      <c r="C793" s="56">
        <v>0</v>
      </c>
      <c r="D793" s="56">
        <v>0</v>
      </c>
    </row>
    <row r="794" spans="2:5" x14ac:dyDescent="0.2">
      <c r="B794" s="23" t="s">
        <v>305</v>
      </c>
      <c r="C794" s="56">
        <v>0</v>
      </c>
      <c r="D794" s="56">
        <v>0</v>
      </c>
    </row>
    <row r="795" spans="2:5" x14ac:dyDescent="0.2">
      <c r="B795" s="23" t="s">
        <v>309</v>
      </c>
      <c r="C795" s="56">
        <v>0</v>
      </c>
      <c r="D795" s="56">
        <v>0</v>
      </c>
    </row>
    <row r="796" spans="2:5" x14ac:dyDescent="0.2">
      <c r="B796" s="23" t="s">
        <v>436</v>
      </c>
      <c r="C796" s="56">
        <v>-3600</v>
      </c>
      <c r="D796" s="56">
        <v>-3600</v>
      </c>
    </row>
    <row r="797" spans="2:5" x14ac:dyDescent="0.2">
      <c r="B797" s="23" t="s">
        <v>463</v>
      </c>
      <c r="C797" s="56">
        <v>-4760.32</v>
      </c>
      <c r="D797" s="56">
        <v>-4760.32</v>
      </c>
    </row>
    <row r="798" spans="2:5" x14ac:dyDescent="0.2">
      <c r="B798" s="23" t="s">
        <v>427</v>
      </c>
      <c r="C798" s="56">
        <v>18000</v>
      </c>
      <c r="D798" s="56">
        <v>18000</v>
      </c>
    </row>
    <row r="799" spans="2:5" x14ac:dyDescent="0.2">
      <c r="B799" s="23" t="s">
        <v>191</v>
      </c>
      <c r="C799" s="56">
        <v>4286</v>
      </c>
      <c r="D799" s="56">
        <v>4286</v>
      </c>
    </row>
    <row r="800" spans="2:5" x14ac:dyDescent="0.2">
      <c r="B800" s="23" t="s">
        <v>212</v>
      </c>
      <c r="C800" s="56">
        <v>4096.82</v>
      </c>
      <c r="D800" s="56">
        <v>4096.82</v>
      </c>
    </row>
    <row r="801" spans="2:5" x14ac:dyDescent="0.2">
      <c r="B801" s="23" t="s">
        <v>257</v>
      </c>
      <c r="C801" s="56">
        <v>8419.2799999999988</v>
      </c>
      <c r="D801" s="56">
        <v>8419.2799999999988</v>
      </c>
    </row>
    <row r="802" spans="2:5" x14ac:dyDescent="0.2">
      <c r="B802" s="23" t="s">
        <v>263</v>
      </c>
      <c r="C802" s="56">
        <v>4159.0599999999995</v>
      </c>
      <c r="D802" s="56">
        <v>4159.0599999999995</v>
      </c>
    </row>
    <row r="803" spans="2:5" x14ac:dyDescent="0.2">
      <c r="B803" s="23" t="s">
        <v>264</v>
      </c>
      <c r="C803" s="56">
        <v>2060.02</v>
      </c>
      <c r="D803" s="56">
        <v>2060.02</v>
      </c>
    </row>
    <row r="804" spans="2:5" x14ac:dyDescent="0.2">
      <c r="B804" s="17" t="s">
        <v>169</v>
      </c>
      <c r="C804" s="56">
        <v>1494.83</v>
      </c>
      <c r="D804" s="57">
        <v>1494.83</v>
      </c>
      <c r="E804" s="44" t="s">
        <v>1533</v>
      </c>
    </row>
    <row r="805" spans="2:5" x14ac:dyDescent="0.2">
      <c r="B805" s="23" t="s">
        <v>159</v>
      </c>
      <c r="C805" s="56">
        <v>0</v>
      </c>
      <c r="D805" s="56">
        <v>0</v>
      </c>
    </row>
    <row r="806" spans="2:5" x14ac:dyDescent="0.2">
      <c r="B806" s="23" t="s">
        <v>225</v>
      </c>
      <c r="C806" s="56">
        <v>0</v>
      </c>
      <c r="D806" s="56">
        <v>0</v>
      </c>
    </row>
    <row r="807" spans="2:5" x14ac:dyDescent="0.2">
      <c r="B807" s="23" t="s">
        <v>305</v>
      </c>
      <c r="C807" s="56">
        <v>0</v>
      </c>
      <c r="D807" s="56">
        <v>0</v>
      </c>
    </row>
    <row r="808" spans="2:5" x14ac:dyDescent="0.2">
      <c r="B808" s="23" t="s">
        <v>309</v>
      </c>
      <c r="C808" s="56">
        <v>0</v>
      </c>
      <c r="D808" s="56">
        <v>0</v>
      </c>
    </row>
    <row r="809" spans="2:5" x14ac:dyDescent="0.2">
      <c r="B809" s="23" t="s">
        <v>433</v>
      </c>
      <c r="C809" s="56">
        <v>7.2</v>
      </c>
      <c r="D809" s="56">
        <v>7.2</v>
      </c>
    </row>
    <row r="810" spans="2:5" x14ac:dyDescent="0.2">
      <c r="B810" s="23" t="s">
        <v>422</v>
      </c>
      <c r="C810" s="56">
        <v>261</v>
      </c>
      <c r="D810" s="56">
        <v>261</v>
      </c>
    </row>
    <row r="811" spans="2:5" x14ac:dyDescent="0.2">
      <c r="B811" s="23" t="s">
        <v>424</v>
      </c>
      <c r="C811" s="56">
        <v>1116</v>
      </c>
      <c r="D811" s="56">
        <v>1116</v>
      </c>
    </row>
    <row r="812" spans="2:5" x14ac:dyDescent="0.2">
      <c r="B812" s="23" t="s">
        <v>434</v>
      </c>
      <c r="C812" s="56">
        <v>84.28</v>
      </c>
      <c r="D812" s="56">
        <v>84.28</v>
      </c>
    </row>
    <row r="813" spans="2:5" x14ac:dyDescent="0.2">
      <c r="B813" s="23" t="s">
        <v>431</v>
      </c>
      <c r="C813" s="56">
        <v>26.35</v>
      </c>
      <c r="D813" s="56">
        <v>26.35</v>
      </c>
    </row>
    <row r="814" spans="2:5" x14ac:dyDescent="0.2">
      <c r="B814" s="17" t="s">
        <v>375</v>
      </c>
      <c r="C814" s="56">
        <v>750</v>
      </c>
      <c r="D814" s="57">
        <v>750</v>
      </c>
      <c r="E814" s="44" t="s">
        <v>1533</v>
      </c>
    </row>
    <row r="815" spans="2:5" x14ac:dyDescent="0.2">
      <c r="B815" s="23" t="s">
        <v>376</v>
      </c>
      <c r="C815" s="56">
        <v>750</v>
      </c>
      <c r="D815" s="56">
        <v>750</v>
      </c>
      <c r="E815" s="44"/>
    </row>
    <row r="816" spans="2:5" x14ac:dyDescent="0.2">
      <c r="B816" s="17" t="s">
        <v>142</v>
      </c>
      <c r="C816" s="56">
        <v>17337.5</v>
      </c>
      <c r="D816" s="57">
        <v>17337.5</v>
      </c>
      <c r="E816" s="44" t="s">
        <v>1533</v>
      </c>
    </row>
    <row r="817" spans="2:4" x14ac:dyDescent="0.2">
      <c r="B817" s="23" t="s">
        <v>301</v>
      </c>
      <c r="C817" s="56">
        <v>825</v>
      </c>
      <c r="D817" s="56">
        <v>825</v>
      </c>
    </row>
    <row r="818" spans="2:4" x14ac:dyDescent="0.2">
      <c r="B818" s="23" t="s">
        <v>522</v>
      </c>
      <c r="C818" s="56">
        <v>187.5</v>
      </c>
      <c r="D818" s="56">
        <v>187.5</v>
      </c>
    </row>
    <row r="819" spans="2:4" x14ac:dyDescent="0.2">
      <c r="B819" s="23" t="s">
        <v>143</v>
      </c>
      <c r="C819" s="56">
        <v>800</v>
      </c>
      <c r="D819" s="56">
        <v>800</v>
      </c>
    </row>
    <row r="820" spans="2:4" x14ac:dyDescent="0.2">
      <c r="B820" s="23" t="s">
        <v>253</v>
      </c>
      <c r="C820" s="56">
        <v>825</v>
      </c>
      <c r="D820" s="56">
        <v>825</v>
      </c>
    </row>
    <row r="821" spans="2:4" x14ac:dyDescent="0.2">
      <c r="B821" s="23" t="s">
        <v>265</v>
      </c>
      <c r="C821" s="56">
        <v>800</v>
      </c>
      <c r="D821" s="56">
        <v>800</v>
      </c>
    </row>
    <row r="822" spans="2:4" x14ac:dyDescent="0.2">
      <c r="B822" s="23" t="s">
        <v>266</v>
      </c>
      <c r="C822" s="56">
        <v>800</v>
      </c>
      <c r="D822" s="56">
        <v>800</v>
      </c>
    </row>
    <row r="823" spans="2:4" x14ac:dyDescent="0.2">
      <c r="B823" s="23" t="s">
        <v>322</v>
      </c>
      <c r="C823" s="56">
        <v>750</v>
      </c>
      <c r="D823" s="56">
        <v>750</v>
      </c>
    </row>
    <row r="824" spans="2:4" x14ac:dyDescent="0.2">
      <c r="B824" s="23" t="s">
        <v>327</v>
      </c>
      <c r="C824" s="56">
        <v>775</v>
      </c>
      <c r="D824" s="56">
        <v>775</v>
      </c>
    </row>
    <row r="825" spans="2:4" x14ac:dyDescent="0.2">
      <c r="B825" s="23" t="s">
        <v>347</v>
      </c>
      <c r="C825" s="56">
        <v>775</v>
      </c>
      <c r="D825" s="56">
        <v>775</v>
      </c>
    </row>
    <row r="826" spans="2:4" x14ac:dyDescent="0.2">
      <c r="B826" s="23" t="s">
        <v>352</v>
      </c>
      <c r="C826" s="56">
        <v>775</v>
      </c>
      <c r="D826" s="56">
        <v>775</v>
      </c>
    </row>
    <row r="827" spans="2:4" x14ac:dyDescent="0.2">
      <c r="B827" s="23" t="s">
        <v>360</v>
      </c>
      <c r="C827" s="56">
        <v>750</v>
      </c>
      <c r="D827" s="56">
        <v>750</v>
      </c>
    </row>
    <row r="828" spans="2:4" x14ac:dyDescent="0.2">
      <c r="B828" s="23" t="s">
        <v>365</v>
      </c>
      <c r="C828" s="56">
        <v>750</v>
      </c>
      <c r="D828" s="56">
        <v>750</v>
      </c>
    </row>
    <row r="829" spans="2:4" x14ac:dyDescent="0.2">
      <c r="B829" s="23" t="s">
        <v>381</v>
      </c>
      <c r="C829" s="56">
        <v>750</v>
      </c>
      <c r="D829" s="56">
        <v>750</v>
      </c>
    </row>
    <row r="830" spans="2:4" x14ac:dyDescent="0.2">
      <c r="B830" s="23" t="s">
        <v>391</v>
      </c>
      <c r="C830" s="56">
        <v>675</v>
      </c>
      <c r="D830" s="56">
        <v>675</v>
      </c>
    </row>
    <row r="831" spans="2:4" x14ac:dyDescent="0.2">
      <c r="B831" s="23" t="s">
        <v>396</v>
      </c>
      <c r="C831" s="56">
        <v>700</v>
      </c>
      <c r="D831" s="56">
        <v>700</v>
      </c>
    </row>
    <row r="832" spans="2:4" x14ac:dyDescent="0.2">
      <c r="B832" s="23" t="s">
        <v>401</v>
      </c>
      <c r="C832" s="56">
        <v>700</v>
      </c>
      <c r="D832" s="56">
        <v>700</v>
      </c>
    </row>
    <row r="833" spans="2:5" x14ac:dyDescent="0.2">
      <c r="B833" s="23" t="s">
        <v>413</v>
      </c>
      <c r="C833" s="56">
        <v>700</v>
      </c>
      <c r="D833" s="56">
        <v>700</v>
      </c>
    </row>
    <row r="834" spans="2:5" x14ac:dyDescent="0.2">
      <c r="B834" s="23" t="s">
        <v>419</v>
      </c>
      <c r="C834" s="56">
        <v>700</v>
      </c>
      <c r="D834" s="56">
        <v>700</v>
      </c>
    </row>
    <row r="835" spans="2:5" x14ac:dyDescent="0.2">
      <c r="B835" s="23" t="s">
        <v>447</v>
      </c>
      <c r="C835" s="56">
        <v>775</v>
      </c>
      <c r="D835" s="56">
        <v>775</v>
      </c>
    </row>
    <row r="836" spans="2:5" x14ac:dyDescent="0.2">
      <c r="B836" s="23" t="s">
        <v>452</v>
      </c>
      <c r="C836" s="56">
        <v>775</v>
      </c>
      <c r="D836" s="56">
        <v>775</v>
      </c>
    </row>
    <row r="837" spans="2:5" x14ac:dyDescent="0.2">
      <c r="B837" s="23" t="s">
        <v>493</v>
      </c>
      <c r="C837" s="56">
        <v>775</v>
      </c>
      <c r="D837" s="56">
        <v>775</v>
      </c>
    </row>
    <row r="838" spans="2:5" x14ac:dyDescent="0.2">
      <c r="B838" s="23" t="s">
        <v>498</v>
      </c>
      <c r="C838" s="56">
        <v>775</v>
      </c>
      <c r="D838" s="56">
        <v>775</v>
      </c>
    </row>
    <row r="839" spans="2:5" x14ac:dyDescent="0.2">
      <c r="B839" s="23" t="s">
        <v>512</v>
      </c>
      <c r="C839" s="56">
        <v>825</v>
      </c>
      <c r="D839" s="56">
        <v>825</v>
      </c>
    </row>
    <row r="840" spans="2:5" x14ac:dyDescent="0.2">
      <c r="B840" s="23" t="s">
        <v>517</v>
      </c>
      <c r="C840" s="56">
        <v>375</v>
      </c>
      <c r="D840" s="56">
        <v>375</v>
      </c>
    </row>
    <row r="841" spans="2:5" x14ac:dyDescent="0.2">
      <c r="B841" s="17" t="s">
        <v>154</v>
      </c>
      <c r="C841" s="56">
        <v>274.02</v>
      </c>
      <c r="D841" s="57">
        <v>274.02</v>
      </c>
      <c r="E841" s="44" t="s">
        <v>1533</v>
      </c>
    </row>
    <row r="842" spans="2:5" x14ac:dyDescent="0.2">
      <c r="B842" s="23" t="s">
        <v>221</v>
      </c>
      <c r="C842" s="56">
        <v>257.55</v>
      </c>
      <c r="D842" s="56">
        <v>257.55</v>
      </c>
    </row>
    <row r="843" spans="2:5" x14ac:dyDescent="0.2">
      <c r="B843" s="23" t="s">
        <v>155</v>
      </c>
      <c r="C843" s="56">
        <v>16.47</v>
      </c>
      <c r="D843" s="56">
        <v>16.47</v>
      </c>
    </row>
    <row r="844" spans="2:5" x14ac:dyDescent="0.2">
      <c r="B844" s="17" t="s">
        <v>180</v>
      </c>
      <c r="C844" s="56">
        <v>560.08000000000004</v>
      </c>
      <c r="D844" s="57">
        <v>560.08000000000004</v>
      </c>
      <c r="E844" s="44" t="s">
        <v>1533</v>
      </c>
    </row>
    <row r="845" spans="2:5" x14ac:dyDescent="0.2">
      <c r="B845" s="23" t="s">
        <v>181</v>
      </c>
      <c r="C845" s="56">
        <v>560.08000000000004</v>
      </c>
      <c r="D845" s="56">
        <v>560.08000000000004</v>
      </c>
    </row>
    <row r="846" spans="2:5" x14ac:dyDescent="0.2">
      <c r="B846" s="17" t="s">
        <v>524</v>
      </c>
      <c r="C846" s="56">
        <v>445083.25000000012</v>
      </c>
      <c r="D846" s="58">
        <v>445083.25000000012</v>
      </c>
    </row>
    <row r="850" spans="3:6" ht="25.5" x14ac:dyDescent="0.2">
      <c r="C850" s="175"/>
      <c r="D850" s="176"/>
      <c r="E850" s="177" t="s">
        <v>1534</v>
      </c>
      <c r="F850" s="177" t="s">
        <v>1535</v>
      </c>
    </row>
    <row r="851" spans="3:6" x14ac:dyDescent="0.2">
      <c r="C851" s="178" t="s">
        <v>1532</v>
      </c>
      <c r="D851" s="179">
        <f>SUMIF(E553:E846,C851,D553:D846)</f>
        <v>391097.11</v>
      </c>
      <c r="E851" s="180">
        <f>'Proforma Hours Input '!AH41</f>
        <v>0.70043567647874516</v>
      </c>
      <c r="F851" s="181">
        <f>D851*E851</f>
        <v>273938.36881173222</v>
      </c>
    </row>
    <row r="852" spans="3:6" x14ac:dyDescent="0.2">
      <c r="C852" s="178" t="s">
        <v>1533</v>
      </c>
      <c r="D852" s="182">
        <f>SUMIF(E553:E847,C852,D553:D847)</f>
        <v>53986.14</v>
      </c>
      <c r="E852" s="180">
        <v>0.6850066965118855</v>
      </c>
      <c r="F852" s="183">
        <f>D852*E852</f>
        <v>36980.867418828166</v>
      </c>
    </row>
    <row r="853" spans="3:6" ht="13.5" thickBot="1" x14ac:dyDescent="0.25">
      <c r="C853" s="175"/>
      <c r="D853" s="184">
        <f>SUM(D851:D852)</f>
        <v>445083.25</v>
      </c>
      <c r="E853" s="175"/>
      <c r="F853" s="366">
        <f>SUM(F851:F852)</f>
        <v>310919.2362305604</v>
      </c>
    </row>
    <row r="854" spans="3:6" ht="13.5" thickTop="1" x14ac:dyDescent="0.2"/>
    <row r="858" spans="3:6" x14ac:dyDescent="0.2">
      <c r="D858" s="367" t="s">
        <v>1619</v>
      </c>
      <c r="E858" s="367"/>
      <c r="F858" s="367"/>
    </row>
    <row r="859" spans="3:6" x14ac:dyDescent="0.2">
      <c r="D859" s="358" t="s">
        <v>1620</v>
      </c>
      <c r="E859" s="362" t="s">
        <v>1547</v>
      </c>
      <c r="F859" s="358" t="s">
        <v>1471</v>
      </c>
    </row>
    <row r="860" spans="3:6" x14ac:dyDescent="0.2">
      <c r="C860" s="358" t="s">
        <v>1621</v>
      </c>
      <c r="D860" s="363">
        <v>60500</v>
      </c>
      <c r="E860" s="363">
        <v>60900</v>
      </c>
      <c r="F860" s="363">
        <v>37000</v>
      </c>
    </row>
    <row r="861" spans="3:6" x14ac:dyDescent="0.2">
      <c r="C861" s="358" t="s">
        <v>1622</v>
      </c>
      <c r="D861" s="363">
        <v>1800</v>
      </c>
      <c r="E861" s="363">
        <v>0</v>
      </c>
      <c r="F861" s="363">
        <v>0</v>
      </c>
    </row>
    <row r="862" spans="3:6" x14ac:dyDescent="0.2">
      <c r="C862" s="358" t="s">
        <v>1623</v>
      </c>
      <c r="D862" s="363">
        <v>2900</v>
      </c>
      <c r="E862" s="363">
        <v>2700</v>
      </c>
      <c r="F862" s="363">
        <v>0</v>
      </c>
    </row>
    <row r="863" spans="3:6" x14ac:dyDescent="0.2">
      <c r="C863" s="358" t="s">
        <v>1624</v>
      </c>
      <c r="D863" s="363">
        <v>277</v>
      </c>
      <c r="E863" s="363">
        <v>0</v>
      </c>
      <c r="F863" s="363">
        <v>0</v>
      </c>
    </row>
    <row r="864" spans="3:6" x14ac:dyDescent="0.2">
      <c r="C864" s="358"/>
      <c r="D864" s="359"/>
    </row>
    <row r="865" spans="3:6" x14ac:dyDescent="0.2">
      <c r="C865" s="16"/>
    </row>
    <row r="866" spans="3:6" x14ac:dyDescent="0.2">
      <c r="E866" s="358" t="s">
        <v>1625</v>
      </c>
      <c r="F866" s="360">
        <f>SUM(E860,D861,D862,D863)</f>
        <v>65877</v>
      </c>
    </row>
    <row r="867" spans="3:6" x14ac:dyDescent="0.2">
      <c r="E867" s="358" t="s">
        <v>1626</v>
      </c>
      <c r="F867" s="361">
        <v>0.6</v>
      </c>
    </row>
    <row r="868" spans="3:6" ht="13.5" thickBot="1" x14ac:dyDescent="0.25">
      <c r="E868" s="364" t="s">
        <v>1627</v>
      </c>
      <c r="F868" s="365">
        <f>F866*F867</f>
        <v>39526.199999999997</v>
      </c>
    </row>
  </sheetData>
  <mergeCells count="1">
    <mergeCell ref="D858:F858"/>
  </mergeCells>
  <phoneticPr fontId="0" type="noConversion"/>
  <dataValidations disablePrompts="1" count="1">
    <dataValidation type="list" allowBlank="1" showInputMessage="1" showErrorMessage="1" sqref="P15">
      <formula1>"All,Posted/Unposted,Posted,Unposted,Staged"</formula1>
    </dataValidation>
  </dataValidations>
  <pageMargins left="0.27" right="0.28999999999999998" top="0.37" bottom="0.43" header="0.25" footer="0.25"/>
  <pageSetup scale="60" fitToHeight="0" pageOrder="overThenDown" orientation="landscape" r:id="rId2"/>
  <headerFooter alignWithMargins="0">
    <oddHeader>&amp;L&amp;"Arial"&amp;L&amp;08 &amp;R&amp;"Arial"&amp;R&amp;08 &amp;D-&amp;T-Jeff Honsowetz</oddHeader>
    <oddFooter>&amp;L&amp;"Arial"&amp;L&amp;08 Path:D:\Data_WCNX\Financials\MidMonths\BrentProject\\&amp;F-&amp;A&amp;R&amp;"Arial"&amp;R&amp;08  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BK515"/>
  <sheetViews>
    <sheetView tabSelected="1" view="pageBreakPreview" zoomScale="90" zoomScaleNormal="60" zoomScaleSheetLayoutView="90" workbookViewId="0">
      <pane xSplit="5" ySplit="5" topLeftCell="AI430" activePane="bottomRight" state="frozen"/>
      <selection activeCell="A548" activeCellId="1" sqref="A551:G853 A9:O548"/>
      <selection pane="topRight" activeCell="A548" activeCellId="1" sqref="A551:G853 A9:O548"/>
      <selection pane="bottomLeft" activeCell="A548" activeCellId="1" sqref="A551:G853 A9:O548"/>
      <selection pane="bottomRight" activeCell="BF5" sqref="BF5"/>
    </sheetView>
  </sheetViews>
  <sheetFormatPr defaultColWidth="10.28515625" defaultRowHeight="15" outlineLevelRow="2" outlineLevelCol="1" x14ac:dyDescent="0.25"/>
  <cols>
    <col min="1" max="1" width="32.5703125" style="63" customWidth="1"/>
    <col min="2" max="2" width="29.140625" style="62" customWidth="1"/>
    <col min="3" max="3" width="32.140625" style="62" bestFit="1" customWidth="1"/>
    <col min="4" max="5" width="10.5703125" style="62" customWidth="1"/>
    <col min="6" max="13" width="13.28515625" style="62" hidden="1" customWidth="1" outlineLevel="1"/>
    <col min="14" max="15" width="10.7109375" style="62" hidden="1" customWidth="1" outlineLevel="1"/>
    <col min="16" max="16" width="10.7109375" style="63" hidden="1" customWidth="1" outlineLevel="1"/>
    <col min="17" max="17" width="15.42578125" style="63" hidden="1" customWidth="1" outlineLevel="1"/>
    <col min="18" max="18" width="19.28515625" style="67" bestFit="1" customWidth="1" collapsed="1"/>
    <col min="19" max="19" width="10.7109375" style="62" hidden="1" customWidth="1" outlineLevel="1"/>
    <col min="20" max="30" width="10.7109375" style="63" hidden="1" customWidth="1" outlineLevel="1"/>
    <col min="31" max="31" width="10.7109375" style="63" customWidth="1" collapsed="1"/>
    <col min="32" max="32" width="10.7109375" style="63" customWidth="1"/>
    <col min="33" max="33" width="5.85546875" style="63" customWidth="1"/>
    <col min="34" max="34" width="11.28515625" style="63" bestFit="1" customWidth="1"/>
    <col min="35" max="35" width="10.5703125" style="63" bestFit="1" customWidth="1"/>
    <col min="36" max="36" width="5.85546875" style="63" customWidth="1"/>
    <col min="37" max="37" width="12.7109375" style="63" bestFit="1" customWidth="1"/>
    <col min="38" max="38" width="10.28515625" style="63"/>
    <col min="39" max="39" width="11.42578125" style="63" bestFit="1" customWidth="1"/>
    <col min="40" max="42" width="0" style="63" hidden="1" customWidth="1" outlineLevel="1"/>
    <col min="43" max="43" width="11.42578125" style="63" hidden="1" customWidth="1" outlineLevel="1"/>
    <col min="44" max="51" width="0" style="63" hidden="1" customWidth="1" outlineLevel="1"/>
    <col min="52" max="52" width="10.28515625" style="63" collapsed="1"/>
    <col min="53" max="53" width="2.7109375" style="63" customWidth="1"/>
    <col min="54" max="54" width="15.5703125" style="63" customWidth="1"/>
    <col min="55" max="55" width="6" style="63" customWidth="1"/>
    <col min="56" max="56" width="10.28515625" style="63"/>
    <col min="57" max="57" width="14.7109375" style="63" customWidth="1"/>
    <col min="58" max="58" width="14.28515625" style="63" customWidth="1"/>
    <col min="59" max="59" width="11.140625" style="63" bestFit="1" customWidth="1"/>
    <col min="60" max="16384" width="10.28515625" style="63"/>
  </cols>
  <sheetData>
    <row r="1" spans="1:62" x14ac:dyDescent="0.25">
      <c r="A1" s="61" t="s">
        <v>527</v>
      </c>
      <c r="B1" s="62">
        <v>1</v>
      </c>
      <c r="C1" s="61">
        <v>2</v>
      </c>
      <c r="D1" s="62">
        <v>3</v>
      </c>
      <c r="E1" s="61">
        <v>4</v>
      </c>
      <c r="F1" s="62">
        <v>5</v>
      </c>
      <c r="G1" s="61">
        <v>6</v>
      </c>
      <c r="H1" s="62">
        <v>7</v>
      </c>
      <c r="I1" s="61">
        <v>8</v>
      </c>
      <c r="J1" s="62">
        <v>9</v>
      </c>
      <c r="K1" s="61">
        <v>10</v>
      </c>
      <c r="L1" s="62">
        <v>11</v>
      </c>
      <c r="M1" s="61">
        <v>12</v>
      </c>
      <c r="N1" s="62">
        <v>13</v>
      </c>
      <c r="O1" s="61">
        <v>14</v>
      </c>
      <c r="P1" s="62">
        <v>15</v>
      </c>
      <c r="Q1" s="61">
        <v>16</v>
      </c>
      <c r="R1" s="62">
        <v>17</v>
      </c>
      <c r="BD1" s="103"/>
      <c r="BE1" s="104" t="s">
        <v>1349</v>
      </c>
      <c r="BF1" s="105">
        <f>+BB454</f>
        <v>38722536.493871436</v>
      </c>
      <c r="BG1" s="103"/>
      <c r="BH1" s="103"/>
      <c r="BI1" s="103"/>
      <c r="BJ1" s="103"/>
    </row>
    <row r="2" spans="1:62" x14ac:dyDescent="0.25">
      <c r="A2" s="61" t="s">
        <v>528</v>
      </c>
      <c r="C2" s="61"/>
      <c r="D2" s="64" t="s">
        <v>529</v>
      </c>
      <c r="E2" s="65"/>
      <c r="P2" s="66"/>
      <c r="Q2" s="66"/>
      <c r="AA2" s="68" t="s">
        <v>530</v>
      </c>
      <c r="AB2" s="65">
        <v>12</v>
      </c>
      <c r="BD2" s="103"/>
      <c r="BE2" s="104" t="s">
        <v>1350</v>
      </c>
      <c r="BF2" s="106">
        <f>'COVID EXPENSES'!F853+'COVID EXPENSES'!F868</f>
        <v>350445.43623056042</v>
      </c>
      <c r="BG2" s="107">
        <f>BF2/BF1</f>
        <v>9.0501673692276064E-3</v>
      </c>
      <c r="BH2" s="103"/>
      <c r="BI2" s="104" t="s">
        <v>1351</v>
      </c>
      <c r="BJ2" s="107">
        <v>1.754E-2</v>
      </c>
    </row>
    <row r="3" spans="1:62" x14ac:dyDescent="0.25">
      <c r="A3" s="61" t="s">
        <v>531</v>
      </c>
      <c r="B3" s="138" t="s">
        <v>1358</v>
      </c>
      <c r="C3" s="61"/>
      <c r="F3" s="62">
        <v>1</v>
      </c>
      <c r="G3" s="62">
        <v>2</v>
      </c>
      <c r="H3" s="62">
        <v>3</v>
      </c>
      <c r="I3" s="62">
        <v>4</v>
      </c>
      <c r="J3" s="62">
        <v>5</v>
      </c>
      <c r="K3" s="62">
        <v>6</v>
      </c>
      <c r="L3" s="62">
        <v>7</v>
      </c>
      <c r="M3" s="62">
        <v>8</v>
      </c>
      <c r="N3" s="62">
        <v>9</v>
      </c>
      <c r="O3" s="62">
        <v>10</v>
      </c>
      <c r="P3" s="62">
        <v>11</v>
      </c>
      <c r="Q3" s="62">
        <v>12</v>
      </c>
      <c r="BD3" s="103"/>
      <c r="BE3" s="104" t="s">
        <v>1352</v>
      </c>
      <c r="BF3" s="108">
        <f>(BF2/2)/(1-(BJ2+BJ3))</f>
        <v>179281.65477948781</v>
      </c>
      <c r="BG3" s="109">
        <f>BF454-BF3</f>
        <v>-328.28248694399372</v>
      </c>
      <c r="BH3" s="103"/>
      <c r="BI3" s="104" t="s">
        <v>1353</v>
      </c>
      <c r="BJ3" s="107">
        <v>5.1000000000000004E-3</v>
      </c>
    </row>
    <row r="4" spans="1:62" x14ac:dyDescent="0.25">
      <c r="A4" s="63" t="s">
        <v>532</v>
      </c>
      <c r="C4" s="69"/>
      <c r="D4" s="70"/>
      <c r="E4" s="70"/>
      <c r="F4" s="368" t="s">
        <v>533</v>
      </c>
      <c r="G4" s="368"/>
      <c r="H4" s="368"/>
      <c r="I4" s="368"/>
      <c r="J4" s="368"/>
      <c r="K4" s="368"/>
      <c r="L4" s="368"/>
      <c r="M4" s="368"/>
      <c r="N4" s="368"/>
      <c r="O4" s="368"/>
      <c r="P4" s="368"/>
      <c r="Q4" s="368"/>
      <c r="S4" s="71" t="s">
        <v>534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2"/>
      <c r="AG4" s="62"/>
      <c r="AH4" s="368" t="s">
        <v>535</v>
      </c>
      <c r="AI4" s="368"/>
      <c r="AN4" s="368" t="s">
        <v>536</v>
      </c>
      <c r="AO4" s="368"/>
      <c r="AP4" s="368"/>
      <c r="AQ4" s="368"/>
      <c r="AR4" s="368"/>
      <c r="AS4" s="368"/>
      <c r="AT4" s="368"/>
      <c r="AU4" s="368"/>
      <c r="AV4" s="368"/>
      <c r="AW4" s="368"/>
      <c r="AX4" s="368"/>
      <c r="AY4" s="368"/>
      <c r="AZ4" s="368"/>
      <c r="BA4" s="115"/>
      <c r="BB4" s="115"/>
      <c r="BC4" s="115"/>
      <c r="BD4" s="103"/>
      <c r="BE4" s="104" t="s">
        <v>1354</v>
      </c>
      <c r="BF4" s="110">
        <f>BF3/BF1+0.00005</f>
        <v>4.679904727647748E-3</v>
      </c>
      <c r="BG4" s="103"/>
      <c r="BH4" s="103"/>
      <c r="BI4" s="103"/>
      <c r="BJ4" s="103"/>
    </row>
    <row r="5" spans="1:62" ht="45" x14ac:dyDescent="0.25">
      <c r="B5" s="72" t="s">
        <v>537</v>
      </c>
      <c r="C5" s="69" t="s">
        <v>538</v>
      </c>
      <c r="D5" s="69" t="s">
        <v>539</v>
      </c>
      <c r="E5" s="69" t="s">
        <v>540</v>
      </c>
      <c r="F5" s="73">
        <v>43831</v>
      </c>
      <c r="G5" s="73">
        <f t="shared" ref="G5:Q5" si="0">+F5+31</f>
        <v>43862</v>
      </c>
      <c r="H5" s="73">
        <f t="shared" si="0"/>
        <v>43893</v>
      </c>
      <c r="I5" s="73">
        <f t="shared" si="0"/>
        <v>43924</v>
      </c>
      <c r="J5" s="73">
        <f t="shared" si="0"/>
        <v>43955</v>
      </c>
      <c r="K5" s="73">
        <f t="shared" si="0"/>
        <v>43986</v>
      </c>
      <c r="L5" s="73">
        <f t="shared" si="0"/>
        <v>44017</v>
      </c>
      <c r="M5" s="73">
        <f t="shared" si="0"/>
        <v>44048</v>
      </c>
      <c r="N5" s="73">
        <f t="shared" si="0"/>
        <v>44079</v>
      </c>
      <c r="O5" s="73">
        <f t="shared" si="0"/>
        <v>44110</v>
      </c>
      <c r="P5" s="73">
        <f t="shared" si="0"/>
        <v>44141</v>
      </c>
      <c r="Q5" s="73">
        <f t="shared" si="0"/>
        <v>44172</v>
      </c>
      <c r="R5" s="67" t="s">
        <v>541</v>
      </c>
      <c r="S5" s="73">
        <f t="shared" ref="S5:AD5" si="1">+F5</f>
        <v>43831</v>
      </c>
      <c r="T5" s="73">
        <f t="shared" si="1"/>
        <v>43862</v>
      </c>
      <c r="U5" s="73">
        <f t="shared" si="1"/>
        <v>43893</v>
      </c>
      <c r="V5" s="73">
        <f t="shared" si="1"/>
        <v>43924</v>
      </c>
      <c r="W5" s="73">
        <f t="shared" si="1"/>
        <v>43955</v>
      </c>
      <c r="X5" s="73">
        <f t="shared" si="1"/>
        <v>43986</v>
      </c>
      <c r="Y5" s="73">
        <f t="shared" si="1"/>
        <v>44017</v>
      </c>
      <c r="Z5" s="73">
        <f t="shared" si="1"/>
        <v>44048</v>
      </c>
      <c r="AA5" s="73">
        <f t="shared" si="1"/>
        <v>44079</v>
      </c>
      <c r="AB5" s="73">
        <f t="shared" si="1"/>
        <v>44110</v>
      </c>
      <c r="AC5" s="73">
        <f t="shared" si="1"/>
        <v>44141</v>
      </c>
      <c r="AD5" s="73">
        <f t="shared" si="1"/>
        <v>44172</v>
      </c>
      <c r="AE5" s="73" t="s">
        <v>542</v>
      </c>
      <c r="AF5" s="73"/>
      <c r="AH5" s="74" t="s">
        <v>543</v>
      </c>
      <c r="AI5" s="74" t="s">
        <v>544</v>
      </c>
      <c r="AN5" s="73">
        <f t="shared" ref="AN5:AY5" si="2">+F5</f>
        <v>43831</v>
      </c>
      <c r="AO5" s="73">
        <f t="shared" si="2"/>
        <v>43862</v>
      </c>
      <c r="AP5" s="73">
        <f t="shared" si="2"/>
        <v>43893</v>
      </c>
      <c r="AQ5" s="73">
        <f t="shared" si="2"/>
        <v>43924</v>
      </c>
      <c r="AR5" s="73">
        <f t="shared" si="2"/>
        <v>43955</v>
      </c>
      <c r="AS5" s="73">
        <f t="shared" si="2"/>
        <v>43986</v>
      </c>
      <c r="AT5" s="73">
        <f t="shared" si="2"/>
        <v>44017</v>
      </c>
      <c r="AU5" s="73">
        <f t="shared" si="2"/>
        <v>44048</v>
      </c>
      <c r="AV5" s="73">
        <f t="shared" si="2"/>
        <v>44079</v>
      </c>
      <c r="AW5" s="73">
        <f t="shared" si="2"/>
        <v>44110</v>
      </c>
      <c r="AX5" s="73">
        <f t="shared" si="2"/>
        <v>44141</v>
      </c>
      <c r="AY5" s="73">
        <f t="shared" si="2"/>
        <v>44172</v>
      </c>
      <c r="AZ5" s="73" t="s">
        <v>542</v>
      </c>
      <c r="BA5" s="73"/>
      <c r="BB5" s="111" t="s">
        <v>1349</v>
      </c>
      <c r="BD5" s="111" t="s">
        <v>1355</v>
      </c>
      <c r="BE5" s="111" t="s">
        <v>1356</v>
      </c>
      <c r="BF5" s="111" t="s">
        <v>1357</v>
      </c>
      <c r="BG5" s="103"/>
      <c r="BH5" s="103"/>
      <c r="BI5" s="103"/>
      <c r="BJ5" s="103"/>
    </row>
    <row r="6" spans="1:62" x14ac:dyDescent="0.25">
      <c r="E6" s="75"/>
      <c r="P6" s="62"/>
      <c r="Q6" s="62"/>
      <c r="S6" s="63"/>
      <c r="BG6" s="103"/>
      <c r="BH6" s="103"/>
      <c r="BI6" s="103"/>
      <c r="BJ6" s="103"/>
    </row>
    <row r="7" spans="1:62" outlineLevel="1" x14ac:dyDescent="0.25">
      <c r="B7" s="76" t="s">
        <v>545</v>
      </c>
      <c r="C7" s="77"/>
      <c r="D7" s="78"/>
      <c r="E7" s="79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S7" s="63"/>
      <c r="BD7" s="103"/>
      <c r="BE7" s="103"/>
      <c r="BF7" s="103"/>
      <c r="BG7" s="103"/>
      <c r="BH7" s="103"/>
      <c r="BI7" s="103"/>
      <c r="BJ7" s="103"/>
    </row>
    <row r="8" spans="1:62" outlineLevel="1" x14ac:dyDescent="0.25">
      <c r="B8" s="76"/>
      <c r="C8" s="77"/>
      <c r="D8" s="78"/>
      <c r="E8" s="79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S8" s="63"/>
      <c r="BD8" s="103"/>
      <c r="BE8" s="103"/>
      <c r="BF8" s="103"/>
      <c r="BG8" s="103"/>
      <c r="BH8" s="103"/>
      <c r="BI8" s="103"/>
      <c r="BJ8" s="103"/>
    </row>
    <row r="9" spans="1:62" outlineLevel="1" x14ac:dyDescent="0.25">
      <c r="A9" s="63" t="s">
        <v>546</v>
      </c>
      <c r="B9" s="80" t="s">
        <v>547</v>
      </c>
      <c r="C9" s="77"/>
      <c r="D9" s="78"/>
      <c r="E9" s="79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S9" s="63"/>
      <c r="BD9" s="103"/>
      <c r="BE9" s="103"/>
      <c r="BF9" s="103"/>
      <c r="BG9" s="103"/>
      <c r="BH9" s="103"/>
      <c r="BI9" s="103"/>
      <c r="BJ9" s="103"/>
    </row>
    <row r="10" spans="1:62" s="62" customFormat="1" outlineLevel="1" x14ac:dyDescent="0.25">
      <c r="A10" s="62" t="str">
        <f>+$A$4&amp;$A$9&amp;B10</f>
        <v>MURREYSRESIDENTIAL10RW1N</v>
      </c>
      <c r="B10" s="81" t="s">
        <v>548</v>
      </c>
      <c r="C10" s="81" t="s">
        <v>549</v>
      </c>
      <c r="D10" s="82">
        <v>0</v>
      </c>
      <c r="E10" s="82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116">
        <f>+SUM(F10:Q10)</f>
        <v>0</v>
      </c>
      <c r="S10" s="83">
        <f t="shared" ref="S10:T77" si="3">+IFERROR(F10/$D10,0)</f>
        <v>0</v>
      </c>
      <c r="T10" s="83">
        <f t="shared" si="3"/>
        <v>0</v>
      </c>
      <c r="U10" s="83">
        <f t="shared" ref="U10:AD25" si="4">+IFERROR(H10/$E10,0)</f>
        <v>0</v>
      </c>
      <c r="V10" s="83">
        <f t="shared" si="4"/>
        <v>0</v>
      </c>
      <c r="W10" s="83">
        <f t="shared" si="4"/>
        <v>0</v>
      </c>
      <c r="X10" s="83">
        <f t="shared" si="4"/>
        <v>0</v>
      </c>
      <c r="Y10" s="83">
        <f t="shared" si="4"/>
        <v>0</v>
      </c>
      <c r="Z10" s="83">
        <f t="shared" si="4"/>
        <v>0</v>
      </c>
      <c r="AA10" s="83">
        <f t="shared" si="4"/>
        <v>0</v>
      </c>
      <c r="AB10" s="83">
        <f t="shared" si="4"/>
        <v>0</v>
      </c>
      <c r="AC10" s="83">
        <f t="shared" si="4"/>
        <v>0</v>
      </c>
      <c r="AD10" s="83">
        <f t="shared" si="4"/>
        <v>0</v>
      </c>
      <c r="AE10" s="83">
        <f>+SUM(S10:AD10)/$AB$2</f>
        <v>0</v>
      </c>
      <c r="AF10" s="83"/>
      <c r="AH10" s="83"/>
      <c r="AI10" s="83"/>
      <c r="BB10" s="101">
        <f>+AE10*E10*12</f>
        <v>0</v>
      </c>
      <c r="BD10" s="112">
        <f t="shared" ref="BD10:BD11" si="5">ROUND(E10*(1+$BF$4),2)</f>
        <v>0</v>
      </c>
      <c r="BE10" s="136">
        <f t="shared" ref="BE10:BE11" si="6">BD10*AE10*12</f>
        <v>0</v>
      </c>
      <c r="BF10" s="137">
        <f t="shared" ref="BF10:BF11" si="7">+BE10-BB10</f>
        <v>0</v>
      </c>
      <c r="BG10" s="113">
        <f t="shared" ref="BG10:BG11" si="8">IFERROR(+BF10/BB10,0)</f>
        <v>0</v>
      </c>
      <c r="BH10" s="114"/>
      <c r="BI10" s="114"/>
      <c r="BJ10" s="114"/>
    </row>
    <row r="11" spans="1:62" s="62" customFormat="1" outlineLevel="1" x14ac:dyDescent="0.25">
      <c r="A11" s="62" t="str">
        <f t="shared" ref="A11:A77" si="9">+$A$4&amp;$A$9&amp;B11</f>
        <v>MURREYSRESIDENTIAL10RW1R</v>
      </c>
      <c r="B11" s="81" t="s">
        <v>550</v>
      </c>
      <c r="C11" s="81" t="s">
        <v>551</v>
      </c>
      <c r="D11" s="82">
        <v>0</v>
      </c>
      <c r="E11" s="82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116">
        <f t="shared" ref="R11:R77" si="10">+SUM(F11:Q11)</f>
        <v>0</v>
      </c>
      <c r="S11" s="83">
        <f t="shared" si="3"/>
        <v>0</v>
      </c>
      <c r="T11" s="83">
        <f t="shared" si="3"/>
        <v>0</v>
      </c>
      <c r="U11" s="83">
        <f t="shared" si="4"/>
        <v>0</v>
      </c>
      <c r="V11" s="83">
        <f t="shared" si="4"/>
        <v>0</v>
      </c>
      <c r="W11" s="83">
        <f t="shared" si="4"/>
        <v>0</v>
      </c>
      <c r="X11" s="83">
        <f t="shared" si="4"/>
        <v>0</v>
      </c>
      <c r="Y11" s="83">
        <f t="shared" si="4"/>
        <v>0</v>
      </c>
      <c r="Z11" s="83">
        <f t="shared" si="4"/>
        <v>0</v>
      </c>
      <c r="AA11" s="83">
        <f t="shared" si="4"/>
        <v>0</v>
      </c>
      <c r="AB11" s="83">
        <f t="shared" si="4"/>
        <v>0</v>
      </c>
      <c r="AC11" s="83">
        <f t="shared" si="4"/>
        <v>0</v>
      </c>
      <c r="AD11" s="83">
        <f t="shared" si="4"/>
        <v>0</v>
      </c>
      <c r="AE11" s="83">
        <f t="shared" ref="AE11:AE77" si="11">+SUM(S11:AD11)/$AB$2</f>
        <v>0</v>
      </c>
      <c r="AF11" s="83"/>
      <c r="AH11" s="83"/>
      <c r="AI11" s="83"/>
      <c r="BB11" s="101">
        <f t="shared" ref="BB11:BB74" si="12">+AE11*E11*12</f>
        <v>0</v>
      </c>
      <c r="BD11" s="112">
        <f t="shared" si="5"/>
        <v>0</v>
      </c>
      <c r="BE11" s="136">
        <f t="shared" si="6"/>
        <v>0</v>
      </c>
      <c r="BF11" s="137">
        <f t="shared" si="7"/>
        <v>0</v>
      </c>
      <c r="BG11" s="113">
        <f t="shared" si="8"/>
        <v>0</v>
      </c>
      <c r="BH11" s="114"/>
      <c r="BI11" s="114"/>
      <c r="BJ11" s="114"/>
    </row>
    <row r="12" spans="1:62" s="62" customFormat="1" outlineLevel="1" x14ac:dyDescent="0.25">
      <c r="A12" s="62" t="str">
        <f>+$A$4&amp;$A$9&amp;B12</f>
        <v>MURREYSRESIDENTIAL20RM1</v>
      </c>
      <c r="B12" s="81" t="s">
        <v>552</v>
      </c>
      <c r="C12" s="81" t="s">
        <v>553</v>
      </c>
      <c r="D12" s="82">
        <v>9.99</v>
      </c>
      <c r="E12" s="82">
        <v>10.02</v>
      </c>
      <c r="F12" s="83">
        <v>1053.9449999999999</v>
      </c>
      <c r="G12" s="83">
        <v>1044.75</v>
      </c>
      <c r="H12" s="83">
        <v>1046.2649999999999</v>
      </c>
      <c r="I12" s="83">
        <v>1017.03</v>
      </c>
      <c r="J12" s="83">
        <v>1022.04</v>
      </c>
      <c r="K12" s="83">
        <v>1052.0999999999999</v>
      </c>
      <c r="L12" s="83">
        <v>1042.8300000000002</v>
      </c>
      <c r="M12" s="83">
        <v>1019.2950000000001</v>
      </c>
      <c r="N12" s="83">
        <v>1010.025</v>
      </c>
      <c r="O12" s="83">
        <v>1020.0749999999999</v>
      </c>
      <c r="P12" s="83">
        <v>1025.0999999999999</v>
      </c>
      <c r="Q12" s="83">
        <v>979.875</v>
      </c>
      <c r="R12" s="116">
        <f t="shared" si="10"/>
        <v>12333.33</v>
      </c>
      <c r="S12" s="83">
        <f t="shared" si="3"/>
        <v>105.49999999999999</v>
      </c>
      <c r="T12" s="83">
        <f t="shared" si="3"/>
        <v>104.57957957957957</v>
      </c>
      <c r="U12" s="83">
        <f t="shared" si="4"/>
        <v>104.41766467065868</v>
      </c>
      <c r="V12" s="83">
        <f t="shared" si="4"/>
        <v>101.5</v>
      </c>
      <c r="W12" s="83">
        <f>+IFERROR(J12/$E12,0)</f>
        <v>102</v>
      </c>
      <c r="X12" s="83">
        <f t="shared" si="4"/>
        <v>105</v>
      </c>
      <c r="Y12" s="83">
        <f t="shared" si="4"/>
        <v>104.07485029940122</v>
      </c>
      <c r="Z12" s="83">
        <f t="shared" si="4"/>
        <v>101.72604790419163</v>
      </c>
      <c r="AA12" s="83">
        <f t="shared" si="4"/>
        <v>100.80089820359282</v>
      </c>
      <c r="AB12" s="83">
        <f t="shared" si="4"/>
        <v>101.80389221556887</v>
      </c>
      <c r="AC12" s="83">
        <f t="shared" si="4"/>
        <v>102.30538922155688</v>
      </c>
      <c r="AD12" s="83">
        <f t="shared" si="4"/>
        <v>97.791916167664681</v>
      </c>
      <c r="AE12" s="83">
        <f t="shared" si="11"/>
        <v>102.62501985518452</v>
      </c>
      <c r="AF12" s="83"/>
      <c r="AH12" s="83"/>
      <c r="AI12" s="83"/>
      <c r="BB12" s="101">
        <f t="shared" si="12"/>
        <v>12339.632387387384</v>
      </c>
      <c r="BD12" s="112">
        <f t="shared" ref="BD12" si="13">ROUND(E12*(1+$BF$4),2)</f>
        <v>10.07</v>
      </c>
      <c r="BE12" s="136">
        <f>BD12*AE12*12</f>
        <v>12401.207399300496</v>
      </c>
      <c r="BF12" s="137">
        <f>+BE12-BB12</f>
        <v>61.575011913111666</v>
      </c>
      <c r="BG12" s="113">
        <f>IFERROR(+BF12/BB12,0)</f>
        <v>4.9900199600799184E-3</v>
      </c>
      <c r="BH12" s="114"/>
      <c r="BI12" s="114"/>
      <c r="BJ12" s="114"/>
    </row>
    <row r="13" spans="1:62" s="62" customFormat="1" outlineLevel="1" x14ac:dyDescent="0.25">
      <c r="A13" s="62" t="str">
        <f t="shared" si="9"/>
        <v>MURREYSRESIDENTIAL20RW1</v>
      </c>
      <c r="B13" s="81" t="s">
        <v>554</v>
      </c>
      <c r="C13" s="81" t="s">
        <v>555</v>
      </c>
      <c r="D13" s="82">
        <v>0</v>
      </c>
      <c r="E13" s="82">
        <v>0</v>
      </c>
      <c r="F13" s="83">
        <v>0</v>
      </c>
      <c r="G13" s="83">
        <v>0</v>
      </c>
      <c r="H13" s="83">
        <v>-46.76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  <c r="P13" s="83">
        <v>0</v>
      </c>
      <c r="Q13" s="83">
        <v>0</v>
      </c>
      <c r="R13" s="116">
        <f t="shared" si="10"/>
        <v>-46.76</v>
      </c>
      <c r="S13" s="83">
        <f t="shared" si="3"/>
        <v>0</v>
      </c>
      <c r="T13" s="83">
        <f t="shared" si="3"/>
        <v>0</v>
      </c>
      <c r="U13" s="83">
        <f t="shared" si="4"/>
        <v>0</v>
      </c>
      <c r="V13" s="83">
        <f t="shared" si="4"/>
        <v>0</v>
      </c>
      <c r="W13" s="83">
        <f t="shared" si="4"/>
        <v>0</v>
      </c>
      <c r="X13" s="83">
        <f t="shared" si="4"/>
        <v>0</v>
      </c>
      <c r="Y13" s="83">
        <f t="shared" si="4"/>
        <v>0</v>
      </c>
      <c r="Z13" s="83">
        <f t="shared" si="4"/>
        <v>0</v>
      </c>
      <c r="AA13" s="83">
        <f t="shared" si="4"/>
        <v>0</v>
      </c>
      <c r="AB13" s="83">
        <f t="shared" si="4"/>
        <v>0</v>
      </c>
      <c r="AC13" s="83">
        <f t="shared" si="4"/>
        <v>0</v>
      </c>
      <c r="AD13" s="83">
        <f t="shared" si="4"/>
        <v>0</v>
      </c>
      <c r="AE13" s="83">
        <f t="shared" si="11"/>
        <v>0</v>
      </c>
      <c r="AF13" s="83"/>
      <c r="AH13" s="83"/>
      <c r="AI13" s="83"/>
      <c r="BB13" s="101">
        <f t="shared" si="12"/>
        <v>0</v>
      </c>
      <c r="BD13" s="112">
        <f t="shared" ref="BD13:BD76" si="14">ROUND(E13*(1+$BF$4),2)</f>
        <v>0</v>
      </c>
      <c r="BE13" s="136">
        <f t="shared" ref="BE13:BE76" si="15">BD13*AE13*12</f>
        <v>0</v>
      </c>
      <c r="BF13" s="137">
        <f t="shared" ref="BF13:BF76" si="16">+BE13-BB13</f>
        <v>0</v>
      </c>
      <c r="BG13" s="113">
        <f t="shared" ref="BG13:BG76" si="17">IFERROR(+BF13/BB13,0)</f>
        <v>0</v>
      </c>
    </row>
    <row r="14" spans="1:62" s="62" customFormat="1" outlineLevel="1" x14ac:dyDescent="0.25">
      <c r="A14" s="62" t="str">
        <f t="shared" si="9"/>
        <v>MURREYSRESIDENTIAL20RW1N</v>
      </c>
      <c r="B14" s="81" t="s">
        <v>556</v>
      </c>
      <c r="C14" s="81" t="s">
        <v>557</v>
      </c>
      <c r="D14" s="82">
        <v>17.48</v>
      </c>
      <c r="E14" s="82">
        <v>17.59</v>
      </c>
      <c r="F14" s="83">
        <v>672.98</v>
      </c>
      <c r="G14" s="83">
        <v>592.77500000000009</v>
      </c>
      <c r="H14" s="83">
        <v>592.56000000000006</v>
      </c>
      <c r="I14" s="83">
        <v>571.67499999999995</v>
      </c>
      <c r="J14" s="83">
        <v>562.88</v>
      </c>
      <c r="K14" s="83">
        <v>567.28</v>
      </c>
      <c r="L14" s="83">
        <v>576.45000000000005</v>
      </c>
      <c r="M14" s="83">
        <v>603.73500000000001</v>
      </c>
      <c r="N14" s="83">
        <v>630.59500000000003</v>
      </c>
      <c r="O14" s="83">
        <v>635.04</v>
      </c>
      <c r="P14" s="83">
        <v>639.45000000000005</v>
      </c>
      <c r="Q14" s="83">
        <v>652.67999999999995</v>
      </c>
      <c r="R14" s="116">
        <f t="shared" si="10"/>
        <v>7298.0999999999995</v>
      </c>
      <c r="S14" s="83">
        <f t="shared" si="3"/>
        <v>38.5</v>
      </c>
      <c r="T14" s="83">
        <f t="shared" si="3"/>
        <v>33.911613272311214</v>
      </c>
      <c r="U14" s="83">
        <f t="shared" si="4"/>
        <v>33.687322342239909</v>
      </c>
      <c r="V14" s="83">
        <f t="shared" si="4"/>
        <v>32.5</v>
      </c>
      <c r="W14" s="83">
        <f t="shared" si="4"/>
        <v>32</v>
      </c>
      <c r="X14" s="83">
        <f t="shared" si="4"/>
        <v>32.250142126208068</v>
      </c>
      <c r="Y14" s="83">
        <f t="shared" si="4"/>
        <v>32.771461057418989</v>
      </c>
      <c r="Z14" s="83">
        <f t="shared" si="4"/>
        <v>34.322626492325185</v>
      </c>
      <c r="AA14" s="83">
        <f t="shared" si="4"/>
        <v>35.849630471859015</v>
      </c>
      <c r="AB14" s="83">
        <f t="shared" si="4"/>
        <v>36.102330869812391</v>
      </c>
      <c r="AC14" s="83">
        <f t="shared" si="4"/>
        <v>36.353041500852761</v>
      </c>
      <c r="AD14" s="83">
        <f t="shared" si="4"/>
        <v>37.10517339397385</v>
      </c>
      <c r="AE14" s="83">
        <f t="shared" si="11"/>
        <v>34.612778460583449</v>
      </c>
      <c r="AF14" s="83"/>
      <c r="AH14" s="83"/>
      <c r="AI14" s="83"/>
      <c r="BB14" s="101">
        <f t="shared" si="12"/>
        <v>7306.0652774599539</v>
      </c>
      <c r="BD14" s="112">
        <f t="shared" si="14"/>
        <v>17.670000000000002</v>
      </c>
      <c r="BE14" s="136">
        <f t="shared" si="15"/>
        <v>7339.2935447821146</v>
      </c>
      <c r="BF14" s="137">
        <f t="shared" si="16"/>
        <v>33.228267322160718</v>
      </c>
      <c r="BG14" s="113">
        <f t="shared" si="17"/>
        <v>4.5480386583286788E-3</v>
      </c>
    </row>
    <row r="15" spans="1:62" s="62" customFormat="1" outlineLevel="1" x14ac:dyDescent="0.25">
      <c r="A15" s="62" t="str">
        <f t="shared" si="9"/>
        <v>MURREYSRESIDENTIAL20RW1NR</v>
      </c>
      <c r="B15" s="81" t="s">
        <v>558</v>
      </c>
      <c r="C15" s="81" t="s">
        <v>559</v>
      </c>
      <c r="D15" s="82">
        <v>0</v>
      </c>
      <c r="E15" s="82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116">
        <f t="shared" si="10"/>
        <v>0</v>
      </c>
      <c r="S15" s="83">
        <f t="shared" si="3"/>
        <v>0</v>
      </c>
      <c r="T15" s="83">
        <f t="shared" si="3"/>
        <v>0</v>
      </c>
      <c r="U15" s="83">
        <f t="shared" si="4"/>
        <v>0</v>
      </c>
      <c r="V15" s="83">
        <f t="shared" si="4"/>
        <v>0</v>
      </c>
      <c r="W15" s="83">
        <f t="shared" si="4"/>
        <v>0</v>
      </c>
      <c r="X15" s="83">
        <f t="shared" si="4"/>
        <v>0</v>
      </c>
      <c r="Y15" s="83">
        <f t="shared" si="4"/>
        <v>0</v>
      </c>
      <c r="Z15" s="83">
        <f t="shared" si="4"/>
        <v>0</v>
      </c>
      <c r="AA15" s="83">
        <f t="shared" si="4"/>
        <v>0</v>
      </c>
      <c r="AB15" s="83">
        <f t="shared" si="4"/>
        <v>0</v>
      </c>
      <c r="AC15" s="83">
        <f t="shared" si="4"/>
        <v>0</v>
      </c>
      <c r="AD15" s="83">
        <f t="shared" si="4"/>
        <v>0</v>
      </c>
      <c r="AE15" s="83">
        <f t="shared" si="11"/>
        <v>0</v>
      </c>
      <c r="AF15" s="83"/>
      <c r="AH15" s="83"/>
      <c r="AI15" s="83"/>
      <c r="BB15" s="101">
        <f t="shared" si="12"/>
        <v>0</v>
      </c>
      <c r="BD15" s="112">
        <f t="shared" si="14"/>
        <v>0</v>
      </c>
      <c r="BE15" s="136">
        <f t="shared" si="15"/>
        <v>0</v>
      </c>
      <c r="BF15" s="137">
        <f t="shared" si="16"/>
        <v>0</v>
      </c>
      <c r="BG15" s="113">
        <f t="shared" si="17"/>
        <v>0</v>
      </c>
    </row>
    <row r="16" spans="1:62" s="62" customFormat="1" outlineLevel="1" x14ac:dyDescent="0.25">
      <c r="A16" s="62" t="str">
        <f t="shared" si="9"/>
        <v>MURREYSRESIDENTIAL20RW1R</v>
      </c>
      <c r="B16" s="81" t="s">
        <v>560</v>
      </c>
      <c r="C16" s="81" t="s">
        <v>561</v>
      </c>
      <c r="D16" s="82">
        <v>16.48</v>
      </c>
      <c r="E16" s="82">
        <v>16.59</v>
      </c>
      <c r="F16" s="83">
        <v>52894.64</v>
      </c>
      <c r="G16" s="83">
        <v>53100.085000000006</v>
      </c>
      <c r="H16" s="83">
        <v>53522.799999999996</v>
      </c>
      <c r="I16" s="83">
        <v>53511.905000000006</v>
      </c>
      <c r="J16" s="83">
        <v>53652.240000000005</v>
      </c>
      <c r="K16" s="83">
        <v>53983.714999999997</v>
      </c>
      <c r="L16" s="83">
        <v>54091.704999999994</v>
      </c>
      <c r="M16" s="83">
        <v>54428.245000000003</v>
      </c>
      <c r="N16" s="83">
        <v>54642.965000000004</v>
      </c>
      <c r="O16" s="83">
        <v>54709.599999999991</v>
      </c>
      <c r="P16" s="83">
        <v>54535.695</v>
      </c>
      <c r="Q16" s="83">
        <v>54642.509999999995</v>
      </c>
      <c r="R16" s="116">
        <f t="shared" si="10"/>
        <v>647716.10499999998</v>
      </c>
      <c r="S16" s="83">
        <f t="shared" si="3"/>
        <v>3209.6262135922329</v>
      </c>
      <c r="T16" s="83">
        <f t="shared" si="3"/>
        <v>3222.0925364077675</v>
      </c>
      <c r="U16" s="83">
        <f t="shared" si="4"/>
        <v>3226.2085593731163</v>
      </c>
      <c r="V16" s="83">
        <f t="shared" si="4"/>
        <v>3225.5518384569023</v>
      </c>
      <c r="W16" s="83">
        <f t="shared" si="4"/>
        <v>3234.0108499095845</v>
      </c>
      <c r="X16" s="83">
        <f t="shared" si="4"/>
        <v>3253.991259795057</v>
      </c>
      <c r="Y16" s="83">
        <f t="shared" si="4"/>
        <v>3260.5006027727545</v>
      </c>
      <c r="Z16" s="83">
        <f t="shared" si="4"/>
        <v>3280.7863170584692</v>
      </c>
      <c r="AA16" s="83">
        <f t="shared" si="4"/>
        <v>3293.7290536467754</v>
      </c>
      <c r="AB16" s="83">
        <f t="shared" si="4"/>
        <v>3297.745629897528</v>
      </c>
      <c r="AC16" s="83">
        <f t="shared" si="4"/>
        <v>3287.2631103074141</v>
      </c>
      <c r="AD16" s="83">
        <f t="shared" si="4"/>
        <v>3293.7016274864372</v>
      </c>
      <c r="AE16" s="83">
        <f t="shared" si="11"/>
        <v>3257.100633225336</v>
      </c>
      <c r="AF16" s="83"/>
      <c r="AH16" s="83"/>
      <c r="AI16" s="83"/>
      <c r="BB16" s="101">
        <f t="shared" si="12"/>
        <v>648423.59406249982</v>
      </c>
      <c r="BD16" s="112">
        <f t="shared" si="14"/>
        <v>16.670000000000002</v>
      </c>
      <c r="BE16" s="136">
        <f t="shared" si="15"/>
        <v>651550.41067039617</v>
      </c>
      <c r="BF16" s="137">
        <f t="shared" si="16"/>
        <v>3126.816607896355</v>
      </c>
      <c r="BG16" s="113">
        <f t="shared" si="17"/>
        <v>4.8221820373719609E-3</v>
      </c>
    </row>
    <row r="17" spans="1:59" s="62" customFormat="1" outlineLevel="1" x14ac:dyDescent="0.25">
      <c r="A17" s="62" t="str">
        <f>+$A$4&amp;$A$247&amp;B17</f>
        <v>MURREYSMULTI-FAMILY20ROCPU</v>
      </c>
      <c r="B17" s="81" t="s">
        <v>562</v>
      </c>
      <c r="C17" s="81" t="s">
        <v>563</v>
      </c>
      <c r="D17" s="82">
        <v>0</v>
      </c>
      <c r="E17" s="82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116">
        <f t="shared" si="10"/>
        <v>0</v>
      </c>
      <c r="S17" s="83">
        <f t="shared" si="3"/>
        <v>0</v>
      </c>
      <c r="T17" s="83">
        <f t="shared" si="3"/>
        <v>0</v>
      </c>
      <c r="U17" s="83">
        <f t="shared" si="4"/>
        <v>0</v>
      </c>
      <c r="V17" s="83">
        <f t="shared" si="4"/>
        <v>0</v>
      </c>
      <c r="W17" s="83">
        <f t="shared" si="4"/>
        <v>0</v>
      </c>
      <c r="X17" s="83">
        <f t="shared" si="4"/>
        <v>0</v>
      </c>
      <c r="Y17" s="83">
        <f t="shared" si="4"/>
        <v>0</v>
      </c>
      <c r="Z17" s="83">
        <f t="shared" si="4"/>
        <v>0</v>
      </c>
      <c r="AA17" s="83">
        <f t="shared" si="4"/>
        <v>0</v>
      </c>
      <c r="AB17" s="83">
        <f t="shared" si="4"/>
        <v>0</v>
      </c>
      <c r="AC17" s="83">
        <f t="shared" si="4"/>
        <v>0</v>
      </c>
      <c r="AD17" s="83">
        <f t="shared" si="4"/>
        <v>0</v>
      </c>
      <c r="AE17" s="83">
        <f t="shared" si="11"/>
        <v>0</v>
      </c>
      <c r="AF17" s="83"/>
      <c r="AH17" s="83"/>
      <c r="AI17" s="83"/>
      <c r="BB17" s="101">
        <f t="shared" si="12"/>
        <v>0</v>
      </c>
      <c r="BD17" s="112">
        <f t="shared" si="14"/>
        <v>0</v>
      </c>
      <c r="BE17" s="136">
        <f t="shared" si="15"/>
        <v>0</v>
      </c>
      <c r="BF17" s="137">
        <f t="shared" si="16"/>
        <v>0</v>
      </c>
      <c r="BG17" s="113">
        <f t="shared" si="17"/>
        <v>0</v>
      </c>
    </row>
    <row r="18" spans="1:59" s="62" customFormat="1" outlineLevel="1" x14ac:dyDescent="0.25">
      <c r="A18" s="62" t="str">
        <f t="shared" si="9"/>
        <v>MURREYSRESIDENTIAL24RW1N</v>
      </c>
      <c r="B18" s="81" t="s">
        <v>564</v>
      </c>
      <c r="C18" s="81" t="s">
        <v>565</v>
      </c>
      <c r="D18" s="82">
        <v>0</v>
      </c>
      <c r="E18" s="82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  <c r="P18" s="83">
        <v>0</v>
      </c>
      <c r="Q18" s="83">
        <v>0</v>
      </c>
      <c r="R18" s="116">
        <f t="shared" si="10"/>
        <v>0</v>
      </c>
      <c r="S18" s="83">
        <f t="shared" si="3"/>
        <v>0</v>
      </c>
      <c r="T18" s="83">
        <f t="shared" si="3"/>
        <v>0</v>
      </c>
      <c r="U18" s="83">
        <f t="shared" si="4"/>
        <v>0</v>
      </c>
      <c r="V18" s="83">
        <f t="shared" si="4"/>
        <v>0</v>
      </c>
      <c r="W18" s="83">
        <f t="shared" si="4"/>
        <v>0</v>
      </c>
      <c r="X18" s="83">
        <f t="shared" si="4"/>
        <v>0</v>
      </c>
      <c r="Y18" s="83">
        <f t="shared" si="4"/>
        <v>0</v>
      </c>
      <c r="Z18" s="83">
        <f t="shared" si="4"/>
        <v>0</v>
      </c>
      <c r="AA18" s="83">
        <f t="shared" si="4"/>
        <v>0</v>
      </c>
      <c r="AB18" s="83">
        <f t="shared" si="4"/>
        <v>0</v>
      </c>
      <c r="AC18" s="83">
        <f t="shared" si="4"/>
        <v>0</v>
      </c>
      <c r="AD18" s="83">
        <f t="shared" si="4"/>
        <v>0</v>
      </c>
      <c r="AE18" s="83">
        <f t="shared" si="11"/>
        <v>0</v>
      </c>
      <c r="AF18" s="83"/>
      <c r="AH18" s="83"/>
      <c r="AI18" s="83"/>
      <c r="BB18" s="101">
        <f t="shared" si="12"/>
        <v>0</v>
      </c>
      <c r="BD18" s="112">
        <f t="shared" si="14"/>
        <v>0</v>
      </c>
      <c r="BE18" s="136">
        <f t="shared" si="15"/>
        <v>0</v>
      </c>
      <c r="BF18" s="137">
        <f t="shared" si="16"/>
        <v>0</v>
      </c>
      <c r="BG18" s="113">
        <f t="shared" si="17"/>
        <v>0</v>
      </c>
    </row>
    <row r="19" spans="1:59" s="62" customFormat="1" outlineLevel="1" x14ac:dyDescent="0.25">
      <c r="A19" s="62" t="str">
        <f t="shared" si="9"/>
        <v>MURREYSRESIDENTIAL24RW1R</v>
      </c>
      <c r="B19" s="81" t="s">
        <v>566</v>
      </c>
      <c r="C19" s="81" t="s">
        <v>567</v>
      </c>
      <c r="D19" s="82">
        <v>0</v>
      </c>
      <c r="E19" s="82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0</v>
      </c>
      <c r="Q19" s="83">
        <v>0</v>
      </c>
      <c r="R19" s="116">
        <f t="shared" si="10"/>
        <v>0</v>
      </c>
      <c r="S19" s="83">
        <f t="shared" si="3"/>
        <v>0</v>
      </c>
      <c r="T19" s="83">
        <f t="shared" si="3"/>
        <v>0</v>
      </c>
      <c r="U19" s="83">
        <f t="shared" si="4"/>
        <v>0</v>
      </c>
      <c r="V19" s="83">
        <f t="shared" si="4"/>
        <v>0</v>
      </c>
      <c r="W19" s="83">
        <f t="shared" si="4"/>
        <v>0</v>
      </c>
      <c r="X19" s="83">
        <f t="shared" si="4"/>
        <v>0</v>
      </c>
      <c r="Y19" s="83">
        <f t="shared" si="4"/>
        <v>0</v>
      </c>
      <c r="Z19" s="83">
        <f t="shared" si="4"/>
        <v>0</v>
      </c>
      <c r="AA19" s="83">
        <f t="shared" si="4"/>
        <v>0</v>
      </c>
      <c r="AB19" s="83">
        <f t="shared" si="4"/>
        <v>0</v>
      </c>
      <c r="AC19" s="83">
        <f t="shared" si="4"/>
        <v>0</v>
      </c>
      <c r="AD19" s="83">
        <f t="shared" si="4"/>
        <v>0</v>
      </c>
      <c r="AE19" s="83">
        <f t="shared" si="11"/>
        <v>0</v>
      </c>
      <c r="AF19" s="83"/>
      <c r="AH19" s="83"/>
      <c r="AI19" s="83"/>
      <c r="BB19" s="101">
        <f t="shared" si="12"/>
        <v>0</v>
      </c>
      <c r="BD19" s="112">
        <f t="shared" si="14"/>
        <v>0</v>
      </c>
      <c r="BE19" s="136">
        <f t="shared" si="15"/>
        <v>0</v>
      </c>
      <c r="BF19" s="137">
        <f t="shared" si="16"/>
        <v>0</v>
      </c>
      <c r="BG19" s="113">
        <f t="shared" si="17"/>
        <v>0</v>
      </c>
    </row>
    <row r="20" spans="1:59" s="62" customFormat="1" outlineLevel="1" x14ac:dyDescent="0.25">
      <c r="A20" s="62" t="str">
        <f t="shared" si="9"/>
        <v>MURREYSRESIDENTIAL32RE1</v>
      </c>
      <c r="B20" s="81" t="s">
        <v>568</v>
      </c>
      <c r="C20" s="81" t="s">
        <v>569</v>
      </c>
      <c r="D20" s="82">
        <v>0</v>
      </c>
      <c r="E20" s="82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83">
        <v>0</v>
      </c>
      <c r="R20" s="116">
        <f t="shared" si="10"/>
        <v>0</v>
      </c>
      <c r="S20" s="83">
        <f t="shared" si="3"/>
        <v>0</v>
      </c>
      <c r="T20" s="83">
        <f t="shared" si="3"/>
        <v>0</v>
      </c>
      <c r="U20" s="83">
        <f t="shared" si="4"/>
        <v>0</v>
      </c>
      <c r="V20" s="83">
        <f t="shared" si="4"/>
        <v>0</v>
      </c>
      <c r="W20" s="83">
        <f t="shared" si="4"/>
        <v>0</v>
      </c>
      <c r="X20" s="83">
        <f t="shared" si="4"/>
        <v>0</v>
      </c>
      <c r="Y20" s="83">
        <f t="shared" si="4"/>
        <v>0</v>
      </c>
      <c r="Z20" s="83">
        <f t="shared" si="4"/>
        <v>0</v>
      </c>
      <c r="AA20" s="83">
        <f t="shared" si="4"/>
        <v>0</v>
      </c>
      <c r="AB20" s="83">
        <f t="shared" si="4"/>
        <v>0</v>
      </c>
      <c r="AC20" s="83">
        <f t="shared" si="4"/>
        <v>0</v>
      </c>
      <c r="AD20" s="83">
        <f t="shared" si="4"/>
        <v>0</v>
      </c>
      <c r="AE20" s="83">
        <f t="shared" si="11"/>
        <v>0</v>
      </c>
      <c r="AF20" s="83"/>
      <c r="AH20" s="83"/>
      <c r="AI20" s="83"/>
      <c r="BB20" s="101">
        <f t="shared" si="12"/>
        <v>0</v>
      </c>
      <c r="BD20" s="112">
        <f t="shared" si="14"/>
        <v>0</v>
      </c>
      <c r="BE20" s="136">
        <f t="shared" si="15"/>
        <v>0</v>
      </c>
      <c r="BF20" s="137">
        <f t="shared" si="16"/>
        <v>0</v>
      </c>
      <c r="BG20" s="113">
        <f t="shared" si="17"/>
        <v>0</v>
      </c>
    </row>
    <row r="21" spans="1:59" s="62" customFormat="1" outlineLevel="1" x14ac:dyDescent="0.25">
      <c r="A21" s="62" t="str">
        <f t="shared" si="9"/>
        <v>MURREYSRESIDENTIAL32RM1</v>
      </c>
      <c r="B21" s="81" t="s">
        <v>570</v>
      </c>
      <c r="C21" s="81" t="s">
        <v>571</v>
      </c>
      <c r="D21" s="82">
        <v>0</v>
      </c>
      <c r="E21" s="82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116">
        <f t="shared" si="10"/>
        <v>0</v>
      </c>
      <c r="S21" s="83">
        <f t="shared" si="3"/>
        <v>0</v>
      </c>
      <c r="T21" s="83">
        <f t="shared" si="3"/>
        <v>0</v>
      </c>
      <c r="U21" s="83">
        <f t="shared" si="4"/>
        <v>0</v>
      </c>
      <c r="V21" s="83">
        <f t="shared" si="4"/>
        <v>0</v>
      </c>
      <c r="W21" s="83">
        <f t="shared" si="4"/>
        <v>0</v>
      </c>
      <c r="X21" s="83">
        <f t="shared" si="4"/>
        <v>0</v>
      </c>
      <c r="Y21" s="83">
        <f t="shared" si="4"/>
        <v>0</v>
      </c>
      <c r="Z21" s="83">
        <f t="shared" si="4"/>
        <v>0</v>
      </c>
      <c r="AA21" s="83">
        <f t="shared" si="4"/>
        <v>0</v>
      </c>
      <c r="AB21" s="83">
        <f t="shared" si="4"/>
        <v>0</v>
      </c>
      <c r="AC21" s="83">
        <f t="shared" si="4"/>
        <v>0</v>
      </c>
      <c r="AD21" s="83">
        <f t="shared" si="4"/>
        <v>0</v>
      </c>
      <c r="AE21" s="83">
        <f t="shared" si="11"/>
        <v>0</v>
      </c>
      <c r="AF21" s="83"/>
      <c r="AH21" s="83"/>
      <c r="AI21" s="83"/>
      <c r="BB21" s="101">
        <f t="shared" si="12"/>
        <v>0</v>
      </c>
      <c r="BD21" s="112">
        <f t="shared" si="14"/>
        <v>0</v>
      </c>
      <c r="BE21" s="136">
        <f t="shared" si="15"/>
        <v>0</v>
      </c>
      <c r="BF21" s="137">
        <f t="shared" si="16"/>
        <v>0</v>
      </c>
      <c r="BG21" s="113">
        <f t="shared" si="17"/>
        <v>0</v>
      </c>
    </row>
    <row r="22" spans="1:59" s="62" customFormat="1" outlineLevel="1" x14ac:dyDescent="0.25">
      <c r="A22" s="62" t="str">
        <f t="shared" si="9"/>
        <v>MURREYSRESIDENTIAL32ROCPU</v>
      </c>
      <c r="B22" s="81" t="s">
        <v>572</v>
      </c>
      <c r="C22" s="81" t="s">
        <v>573</v>
      </c>
      <c r="D22" s="82">
        <v>0</v>
      </c>
      <c r="E22" s="82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6.13</v>
      </c>
      <c r="O22" s="83">
        <v>0</v>
      </c>
      <c r="P22" s="83">
        <v>0</v>
      </c>
      <c r="Q22" s="83">
        <v>0</v>
      </c>
      <c r="R22" s="116">
        <f t="shared" si="10"/>
        <v>6.13</v>
      </c>
      <c r="S22" s="83">
        <f t="shared" si="3"/>
        <v>0</v>
      </c>
      <c r="T22" s="83">
        <f t="shared" si="3"/>
        <v>0</v>
      </c>
      <c r="U22" s="83">
        <f t="shared" si="4"/>
        <v>0</v>
      </c>
      <c r="V22" s="83">
        <f t="shared" si="4"/>
        <v>0</v>
      </c>
      <c r="W22" s="83">
        <f t="shared" si="4"/>
        <v>0</v>
      </c>
      <c r="X22" s="83">
        <f t="shared" si="4"/>
        <v>0</v>
      </c>
      <c r="Y22" s="83">
        <f t="shared" si="4"/>
        <v>0</v>
      </c>
      <c r="Z22" s="83">
        <f t="shared" si="4"/>
        <v>0</v>
      </c>
      <c r="AA22" s="83">
        <f t="shared" si="4"/>
        <v>0</v>
      </c>
      <c r="AB22" s="83">
        <f t="shared" si="4"/>
        <v>0</v>
      </c>
      <c r="AC22" s="83">
        <f t="shared" si="4"/>
        <v>0</v>
      </c>
      <c r="AD22" s="83">
        <f t="shared" si="4"/>
        <v>0</v>
      </c>
      <c r="AE22" s="83">
        <f t="shared" si="11"/>
        <v>0</v>
      </c>
      <c r="AF22" s="83"/>
      <c r="AH22" s="83"/>
      <c r="AI22" s="83"/>
      <c r="BB22" s="101">
        <f t="shared" si="12"/>
        <v>0</v>
      </c>
      <c r="BD22" s="112">
        <f t="shared" si="14"/>
        <v>0</v>
      </c>
      <c r="BE22" s="136">
        <f t="shared" si="15"/>
        <v>0</v>
      </c>
      <c r="BF22" s="137">
        <f t="shared" si="16"/>
        <v>0</v>
      </c>
      <c r="BG22" s="113">
        <f t="shared" si="17"/>
        <v>0</v>
      </c>
    </row>
    <row r="23" spans="1:59" s="62" customFormat="1" outlineLevel="1" x14ac:dyDescent="0.25">
      <c r="A23" s="62" t="str">
        <f t="shared" si="9"/>
        <v>MURREYSRESIDENTIAL32RW1</v>
      </c>
      <c r="B23" s="81" t="s">
        <v>574</v>
      </c>
      <c r="C23" s="81" t="s">
        <v>575</v>
      </c>
      <c r="D23" s="82">
        <v>0</v>
      </c>
      <c r="E23" s="82">
        <v>0</v>
      </c>
      <c r="F23" s="83">
        <v>0</v>
      </c>
      <c r="G23" s="83">
        <v>0</v>
      </c>
      <c r="H23" s="83">
        <v>0</v>
      </c>
      <c r="I23" s="83">
        <v>4.32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116">
        <f t="shared" si="10"/>
        <v>4.32</v>
      </c>
      <c r="S23" s="83">
        <f t="shared" si="3"/>
        <v>0</v>
      </c>
      <c r="T23" s="83">
        <f t="shared" si="3"/>
        <v>0</v>
      </c>
      <c r="U23" s="83">
        <f t="shared" si="4"/>
        <v>0</v>
      </c>
      <c r="V23" s="83">
        <f t="shared" si="4"/>
        <v>0</v>
      </c>
      <c r="W23" s="83">
        <f t="shared" si="4"/>
        <v>0</v>
      </c>
      <c r="X23" s="83">
        <f t="shared" si="4"/>
        <v>0</v>
      </c>
      <c r="Y23" s="83">
        <f t="shared" si="4"/>
        <v>0</v>
      </c>
      <c r="Z23" s="83">
        <f t="shared" si="4"/>
        <v>0</v>
      </c>
      <c r="AA23" s="83">
        <f t="shared" si="4"/>
        <v>0</v>
      </c>
      <c r="AB23" s="83">
        <f t="shared" si="4"/>
        <v>0</v>
      </c>
      <c r="AC23" s="83">
        <f t="shared" si="4"/>
        <v>0</v>
      </c>
      <c r="AD23" s="83">
        <f t="shared" si="4"/>
        <v>0</v>
      </c>
      <c r="AE23" s="83">
        <f t="shared" si="11"/>
        <v>0</v>
      </c>
      <c r="AF23" s="83"/>
      <c r="AH23" s="83"/>
      <c r="AI23" s="83"/>
      <c r="BB23" s="101">
        <f t="shared" si="12"/>
        <v>0</v>
      </c>
      <c r="BD23" s="112">
        <f t="shared" si="14"/>
        <v>0</v>
      </c>
      <c r="BE23" s="136">
        <f t="shared" si="15"/>
        <v>0</v>
      </c>
      <c r="BF23" s="137">
        <f t="shared" si="16"/>
        <v>0</v>
      </c>
      <c r="BG23" s="113">
        <f t="shared" si="17"/>
        <v>0</v>
      </c>
    </row>
    <row r="24" spans="1:59" s="62" customFormat="1" outlineLevel="1" x14ac:dyDescent="0.25">
      <c r="A24" s="62" t="str">
        <f t="shared" si="9"/>
        <v>MURREYSRESIDENTIAL32RW1N</v>
      </c>
      <c r="B24" s="81" t="s">
        <v>576</v>
      </c>
      <c r="C24" s="81" t="s">
        <v>577</v>
      </c>
      <c r="D24" s="82">
        <v>0</v>
      </c>
      <c r="E24" s="82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116">
        <f t="shared" si="10"/>
        <v>0</v>
      </c>
      <c r="S24" s="83">
        <f t="shared" si="3"/>
        <v>0</v>
      </c>
      <c r="T24" s="83">
        <f t="shared" si="3"/>
        <v>0</v>
      </c>
      <c r="U24" s="83">
        <f t="shared" si="4"/>
        <v>0</v>
      </c>
      <c r="V24" s="83">
        <f t="shared" si="4"/>
        <v>0</v>
      </c>
      <c r="W24" s="83">
        <f t="shared" si="4"/>
        <v>0</v>
      </c>
      <c r="X24" s="83">
        <f t="shared" si="4"/>
        <v>0</v>
      </c>
      <c r="Y24" s="83">
        <f t="shared" si="4"/>
        <v>0</v>
      </c>
      <c r="Z24" s="83">
        <f t="shared" si="4"/>
        <v>0</v>
      </c>
      <c r="AA24" s="83">
        <f t="shared" si="4"/>
        <v>0</v>
      </c>
      <c r="AB24" s="83">
        <f t="shared" si="4"/>
        <v>0</v>
      </c>
      <c r="AC24" s="83">
        <f t="shared" si="4"/>
        <v>0</v>
      </c>
      <c r="AD24" s="83">
        <f t="shared" si="4"/>
        <v>0</v>
      </c>
      <c r="AE24" s="83">
        <f t="shared" si="11"/>
        <v>0</v>
      </c>
      <c r="AF24" s="83"/>
      <c r="AH24" s="83"/>
      <c r="AI24" s="83"/>
      <c r="BB24" s="101">
        <f t="shared" si="12"/>
        <v>0</v>
      </c>
      <c r="BD24" s="112">
        <f t="shared" si="14"/>
        <v>0</v>
      </c>
      <c r="BE24" s="136">
        <f t="shared" si="15"/>
        <v>0</v>
      </c>
      <c r="BF24" s="137">
        <f t="shared" si="16"/>
        <v>0</v>
      </c>
      <c r="BG24" s="113">
        <f t="shared" si="17"/>
        <v>0</v>
      </c>
    </row>
    <row r="25" spans="1:59" s="62" customFormat="1" outlineLevel="1" x14ac:dyDescent="0.25">
      <c r="A25" s="62" t="str">
        <f t="shared" si="9"/>
        <v>MURREYSRESIDENTIAL32RW1NR</v>
      </c>
      <c r="B25" s="81" t="s">
        <v>578</v>
      </c>
      <c r="C25" s="81" t="s">
        <v>579</v>
      </c>
      <c r="D25" s="82">
        <v>0</v>
      </c>
      <c r="E25" s="82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0</v>
      </c>
      <c r="Q25" s="83">
        <v>0</v>
      </c>
      <c r="R25" s="116">
        <f t="shared" si="10"/>
        <v>0</v>
      </c>
      <c r="S25" s="83">
        <f t="shared" si="3"/>
        <v>0</v>
      </c>
      <c r="T25" s="83">
        <f t="shared" si="3"/>
        <v>0</v>
      </c>
      <c r="U25" s="83">
        <f t="shared" si="4"/>
        <v>0</v>
      </c>
      <c r="V25" s="83">
        <f t="shared" si="4"/>
        <v>0</v>
      </c>
      <c r="W25" s="83">
        <f t="shared" si="4"/>
        <v>0</v>
      </c>
      <c r="X25" s="83">
        <f t="shared" si="4"/>
        <v>0</v>
      </c>
      <c r="Y25" s="83">
        <f t="shared" si="4"/>
        <v>0</v>
      </c>
      <c r="Z25" s="83">
        <f t="shared" si="4"/>
        <v>0</v>
      </c>
      <c r="AA25" s="83">
        <f t="shared" si="4"/>
        <v>0</v>
      </c>
      <c r="AB25" s="83">
        <f t="shared" si="4"/>
        <v>0</v>
      </c>
      <c r="AC25" s="83">
        <f t="shared" si="4"/>
        <v>0</v>
      </c>
      <c r="AD25" s="83">
        <f t="shared" si="4"/>
        <v>0</v>
      </c>
      <c r="AE25" s="83">
        <f t="shared" si="11"/>
        <v>0</v>
      </c>
      <c r="AF25" s="83"/>
      <c r="AH25" s="83"/>
      <c r="AI25" s="83"/>
      <c r="BB25" s="101">
        <f t="shared" si="12"/>
        <v>0</v>
      </c>
      <c r="BD25" s="112">
        <f t="shared" si="14"/>
        <v>0</v>
      </c>
      <c r="BE25" s="136">
        <f t="shared" si="15"/>
        <v>0</v>
      </c>
      <c r="BF25" s="137">
        <f t="shared" si="16"/>
        <v>0</v>
      </c>
      <c r="BG25" s="113">
        <f t="shared" si="17"/>
        <v>0</v>
      </c>
    </row>
    <row r="26" spans="1:59" s="62" customFormat="1" outlineLevel="1" x14ac:dyDescent="0.25">
      <c r="A26" s="62" t="str">
        <f t="shared" si="9"/>
        <v>MURREYSRESIDENTIAL32RW1R</v>
      </c>
      <c r="B26" s="81" t="s">
        <v>580</v>
      </c>
      <c r="C26" s="81" t="s">
        <v>581</v>
      </c>
      <c r="D26" s="82">
        <v>0</v>
      </c>
      <c r="E26" s="82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  <c r="N26" s="83">
        <v>0</v>
      </c>
      <c r="O26" s="83">
        <v>0</v>
      </c>
      <c r="P26" s="83">
        <v>0</v>
      </c>
      <c r="Q26" s="83">
        <v>0</v>
      </c>
      <c r="R26" s="116">
        <f t="shared" si="10"/>
        <v>0</v>
      </c>
      <c r="S26" s="83">
        <f t="shared" si="3"/>
        <v>0</v>
      </c>
      <c r="T26" s="83">
        <f t="shared" si="3"/>
        <v>0</v>
      </c>
      <c r="U26" s="83">
        <f t="shared" ref="U26:AD51" si="18">+IFERROR(H26/$E26,0)</f>
        <v>0</v>
      </c>
      <c r="V26" s="83">
        <f t="shared" si="18"/>
        <v>0</v>
      </c>
      <c r="W26" s="83">
        <f t="shared" si="18"/>
        <v>0</v>
      </c>
      <c r="X26" s="83">
        <f t="shared" si="18"/>
        <v>0</v>
      </c>
      <c r="Y26" s="83">
        <f t="shared" si="18"/>
        <v>0</v>
      </c>
      <c r="Z26" s="83">
        <f t="shared" si="18"/>
        <v>0</v>
      </c>
      <c r="AA26" s="83">
        <f t="shared" si="18"/>
        <v>0</v>
      </c>
      <c r="AB26" s="83">
        <f t="shared" si="18"/>
        <v>0</v>
      </c>
      <c r="AC26" s="83">
        <f t="shared" si="18"/>
        <v>0</v>
      </c>
      <c r="AD26" s="83">
        <f t="shared" si="18"/>
        <v>0</v>
      </c>
      <c r="AE26" s="83">
        <f t="shared" si="11"/>
        <v>0</v>
      </c>
      <c r="AF26" s="83"/>
      <c r="AH26" s="83"/>
      <c r="AI26" s="83"/>
      <c r="BB26" s="101">
        <f t="shared" si="12"/>
        <v>0</v>
      </c>
      <c r="BD26" s="112">
        <f t="shared" si="14"/>
        <v>0</v>
      </c>
      <c r="BE26" s="136">
        <f t="shared" si="15"/>
        <v>0</v>
      </c>
      <c r="BF26" s="137">
        <f t="shared" si="16"/>
        <v>0</v>
      </c>
      <c r="BG26" s="113">
        <f t="shared" si="17"/>
        <v>0</v>
      </c>
    </row>
    <row r="27" spans="1:59" s="62" customFormat="1" outlineLevel="1" x14ac:dyDescent="0.25">
      <c r="A27" s="62" t="str">
        <f t="shared" si="9"/>
        <v>MURREYSRESIDENTIAL32RW2</v>
      </c>
      <c r="B27" s="81" t="s">
        <v>582</v>
      </c>
      <c r="C27" s="81" t="s">
        <v>583</v>
      </c>
      <c r="D27" s="82">
        <v>0</v>
      </c>
      <c r="E27" s="82">
        <v>0</v>
      </c>
      <c r="F27" s="83">
        <v>0</v>
      </c>
      <c r="G27" s="83">
        <v>0</v>
      </c>
      <c r="H27" s="83">
        <v>0</v>
      </c>
      <c r="I27" s="83">
        <v>0</v>
      </c>
      <c r="J27" s="83">
        <v>-48.94</v>
      </c>
      <c r="K27" s="83">
        <v>0</v>
      </c>
      <c r="L27" s="83">
        <v>0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116">
        <f t="shared" si="10"/>
        <v>-48.94</v>
      </c>
      <c r="S27" s="83">
        <f t="shared" si="3"/>
        <v>0</v>
      </c>
      <c r="T27" s="83">
        <f t="shared" si="3"/>
        <v>0</v>
      </c>
      <c r="U27" s="83">
        <f t="shared" si="18"/>
        <v>0</v>
      </c>
      <c r="V27" s="83">
        <f t="shared" si="18"/>
        <v>0</v>
      </c>
      <c r="W27" s="83">
        <f t="shared" si="18"/>
        <v>0</v>
      </c>
      <c r="X27" s="83">
        <f t="shared" si="18"/>
        <v>0</v>
      </c>
      <c r="Y27" s="83">
        <f t="shared" si="18"/>
        <v>0</v>
      </c>
      <c r="Z27" s="83">
        <f t="shared" si="18"/>
        <v>0</v>
      </c>
      <c r="AA27" s="83">
        <f t="shared" si="18"/>
        <v>0</v>
      </c>
      <c r="AB27" s="83">
        <f t="shared" si="18"/>
        <v>0</v>
      </c>
      <c r="AC27" s="83">
        <f t="shared" si="18"/>
        <v>0</v>
      </c>
      <c r="AD27" s="83">
        <f t="shared" si="18"/>
        <v>0</v>
      </c>
      <c r="AE27" s="83">
        <f t="shared" si="11"/>
        <v>0</v>
      </c>
      <c r="AF27" s="83"/>
      <c r="AH27" s="83"/>
      <c r="AI27" s="83"/>
      <c r="BB27" s="101">
        <f t="shared" si="12"/>
        <v>0</v>
      </c>
      <c r="BD27" s="112">
        <f t="shared" si="14"/>
        <v>0</v>
      </c>
      <c r="BE27" s="136">
        <f t="shared" si="15"/>
        <v>0</v>
      </c>
      <c r="BF27" s="137">
        <f t="shared" si="16"/>
        <v>0</v>
      </c>
      <c r="BG27" s="113">
        <f t="shared" si="17"/>
        <v>0</v>
      </c>
    </row>
    <row r="28" spans="1:59" s="62" customFormat="1" outlineLevel="1" x14ac:dyDescent="0.25">
      <c r="A28" s="62" t="str">
        <f t="shared" si="9"/>
        <v>MURREYSRESIDENTIAL32RW2R</v>
      </c>
      <c r="B28" s="81" t="s">
        <v>584</v>
      </c>
      <c r="C28" s="81" t="s">
        <v>585</v>
      </c>
      <c r="D28" s="82">
        <v>0</v>
      </c>
      <c r="E28" s="82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83">
        <v>0</v>
      </c>
      <c r="R28" s="116">
        <f t="shared" si="10"/>
        <v>0</v>
      </c>
      <c r="S28" s="83">
        <f t="shared" si="3"/>
        <v>0</v>
      </c>
      <c r="T28" s="83">
        <f t="shared" si="3"/>
        <v>0</v>
      </c>
      <c r="U28" s="83">
        <f t="shared" si="18"/>
        <v>0</v>
      </c>
      <c r="V28" s="83">
        <f t="shared" si="18"/>
        <v>0</v>
      </c>
      <c r="W28" s="83">
        <f t="shared" si="18"/>
        <v>0</v>
      </c>
      <c r="X28" s="83">
        <f t="shared" si="18"/>
        <v>0</v>
      </c>
      <c r="Y28" s="83">
        <f t="shared" si="18"/>
        <v>0</v>
      </c>
      <c r="Z28" s="83">
        <f t="shared" si="18"/>
        <v>0</v>
      </c>
      <c r="AA28" s="83">
        <f t="shared" si="18"/>
        <v>0</v>
      </c>
      <c r="AB28" s="83">
        <f t="shared" si="18"/>
        <v>0</v>
      </c>
      <c r="AC28" s="83">
        <f t="shared" si="18"/>
        <v>0</v>
      </c>
      <c r="AD28" s="83">
        <f t="shared" si="18"/>
        <v>0</v>
      </c>
      <c r="AE28" s="83">
        <f t="shared" si="11"/>
        <v>0</v>
      </c>
      <c r="AF28" s="83"/>
      <c r="AH28" s="83"/>
      <c r="AI28" s="83"/>
      <c r="BB28" s="101">
        <f t="shared" si="12"/>
        <v>0</v>
      </c>
      <c r="BD28" s="112">
        <f t="shared" si="14"/>
        <v>0</v>
      </c>
      <c r="BE28" s="136">
        <f t="shared" si="15"/>
        <v>0</v>
      </c>
      <c r="BF28" s="137">
        <f t="shared" si="16"/>
        <v>0</v>
      </c>
      <c r="BG28" s="113">
        <f t="shared" si="17"/>
        <v>0</v>
      </c>
    </row>
    <row r="29" spans="1:59" s="62" customFormat="1" outlineLevel="1" x14ac:dyDescent="0.25">
      <c r="A29" s="62" t="str">
        <f t="shared" si="9"/>
        <v>MURREYSRESIDENTIAL32RW2NR</v>
      </c>
      <c r="B29" s="81" t="s">
        <v>586</v>
      </c>
      <c r="C29" s="81" t="s">
        <v>587</v>
      </c>
      <c r="D29" s="82">
        <v>0</v>
      </c>
      <c r="E29" s="82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116">
        <f t="shared" si="10"/>
        <v>0</v>
      </c>
      <c r="S29" s="83">
        <f t="shared" si="3"/>
        <v>0</v>
      </c>
      <c r="T29" s="83">
        <f t="shared" si="3"/>
        <v>0</v>
      </c>
      <c r="U29" s="83">
        <f t="shared" si="18"/>
        <v>0</v>
      </c>
      <c r="V29" s="83">
        <f t="shared" si="18"/>
        <v>0</v>
      </c>
      <c r="W29" s="83">
        <f t="shared" si="18"/>
        <v>0</v>
      </c>
      <c r="X29" s="83">
        <f t="shared" si="18"/>
        <v>0</v>
      </c>
      <c r="Y29" s="83">
        <f t="shared" si="18"/>
        <v>0</v>
      </c>
      <c r="Z29" s="83">
        <f t="shared" si="18"/>
        <v>0</v>
      </c>
      <c r="AA29" s="83">
        <f t="shared" si="18"/>
        <v>0</v>
      </c>
      <c r="AB29" s="83">
        <f t="shared" si="18"/>
        <v>0</v>
      </c>
      <c r="AC29" s="83">
        <f t="shared" si="18"/>
        <v>0</v>
      </c>
      <c r="AD29" s="83">
        <f t="shared" si="18"/>
        <v>0</v>
      </c>
      <c r="AE29" s="83">
        <f t="shared" si="11"/>
        <v>0</v>
      </c>
      <c r="AF29" s="83"/>
      <c r="AH29" s="83"/>
      <c r="AI29" s="83"/>
      <c r="BB29" s="101">
        <f t="shared" si="12"/>
        <v>0</v>
      </c>
      <c r="BD29" s="112">
        <f t="shared" si="14"/>
        <v>0</v>
      </c>
      <c r="BE29" s="136">
        <f t="shared" si="15"/>
        <v>0</v>
      </c>
      <c r="BF29" s="137">
        <f t="shared" si="16"/>
        <v>0</v>
      </c>
      <c r="BG29" s="113">
        <f t="shared" si="17"/>
        <v>0</v>
      </c>
    </row>
    <row r="30" spans="1:59" s="62" customFormat="1" outlineLevel="1" x14ac:dyDescent="0.25">
      <c r="A30" s="62" t="str">
        <f t="shared" si="9"/>
        <v>MURREYSRESIDENTIAL32RW3</v>
      </c>
      <c r="B30" s="81" t="s">
        <v>588</v>
      </c>
      <c r="C30" s="81" t="s">
        <v>589</v>
      </c>
      <c r="D30" s="82">
        <v>0</v>
      </c>
      <c r="E30" s="82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83">
        <v>0</v>
      </c>
      <c r="R30" s="116">
        <f t="shared" si="10"/>
        <v>0</v>
      </c>
      <c r="S30" s="83">
        <f t="shared" si="3"/>
        <v>0</v>
      </c>
      <c r="T30" s="83">
        <f t="shared" si="3"/>
        <v>0</v>
      </c>
      <c r="U30" s="83">
        <f t="shared" si="18"/>
        <v>0</v>
      </c>
      <c r="V30" s="83">
        <f t="shared" si="18"/>
        <v>0</v>
      </c>
      <c r="W30" s="83">
        <f t="shared" si="18"/>
        <v>0</v>
      </c>
      <c r="X30" s="83">
        <f t="shared" si="18"/>
        <v>0</v>
      </c>
      <c r="Y30" s="83">
        <f t="shared" si="18"/>
        <v>0</v>
      </c>
      <c r="Z30" s="83">
        <f t="shared" si="18"/>
        <v>0</v>
      </c>
      <c r="AA30" s="83">
        <f t="shared" si="18"/>
        <v>0</v>
      </c>
      <c r="AB30" s="83">
        <f t="shared" si="18"/>
        <v>0</v>
      </c>
      <c r="AC30" s="83">
        <f t="shared" si="18"/>
        <v>0</v>
      </c>
      <c r="AD30" s="83">
        <f t="shared" si="18"/>
        <v>0</v>
      </c>
      <c r="AE30" s="83">
        <f t="shared" si="11"/>
        <v>0</v>
      </c>
      <c r="AF30" s="83"/>
      <c r="AH30" s="83"/>
      <c r="AI30" s="83"/>
      <c r="BB30" s="101">
        <f t="shared" si="12"/>
        <v>0</v>
      </c>
      <c r="BD30" s="112">
        <f t="shared" si="14"/>
        <v>0</v>
      </c>
      <c r="BE30" s="136">
        <f t="shared" si="15"/>
        <v>0</v>
      </c>
      <c r="BF30" s="137">
        <f t="shared" si="16"/>
        <v>0</v>
      </c>
      <c r="BG30" s="113">
        <f t="shared" si="17"/>
        <v>0</v>
      </c>
    </row>
    <row r="31" spans="1:59" s="62" customFormat="1" outlineLevel="1" x14ac:dyDescent="0.25">
      <c r="A31" s="62" t="str">
        <f t="shared" si="9"/>
        <v>MURREYSRESIDENTIAL32RW3NR</v>
      </c>
      <c r="B31" s="81" t="s">
        <v>590</v>
      </c>
      <c r="C31" s="81" t="s">
        <v>591</v>
      </c>
      <c r="D31" s="82">
        <v>0</v>
      </c>
      <c r="E31" s="82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0</v>
      </c>
      <c r="Q31" s="83">
        <v>0</v>
      </c>
      <c r="R31" s="116">
        <f t="shared" si="10"/>
        <v>0</v>
      </c>
      <c r="S31" s="83">
        <f t="shared" si="3"/>
        <v>0</v>
      </c>
      <c r="T31" s="83">
        <f t="shared" si="3"/>
        <v>0</v>
      </c>
      <c r="U31" s="83">
        <f t="shared" si="18"/>
        <v>0</v>
      </c>
      <c r="V31" s="83">
        <f t="shared" si="18"/>
        <v>0</v>
      </c>
      <c r="W31" s="83">
        <f t="shared" si="18"/>
        <v>0</v>
      </c>
      <c r="X31" s="83">
        <f t="shared" si="18"/>
        <v>0</v>
      </c>
      <c r="Y31" s="83">
        <f t="shared" si="18"/>
        <v>0</v>
      </c>
      <c r="Z31" s="83">
        <f t="shared" si="18"/>
        <v>0</v>
      </c>
      <c r="AA31" s="83">
        <f t="shared" si="18"/>
        <v>0</v>
      </c>
      <c r="AB31" s="83">
        <f t="shared" si="18"/>
        <v>0</v>
      </c>
      <c r="AC31" s="83">
        <f t="shared" si="18"/>
        <v>0</v>
      </c>
      <c r="AD31" s="83">
        <f t="shared" si="18"/>
        <v>0</v>
      </c>
      <c r="AE31" s="83">
        <f t="shared" si="11"/>
        <v>0</v>
      </c>
      <c r="AF31" s="83"/>
      <c r="AH31" s="83"/>
      <c r="AI31" s="83"/>
      <c r="BB31" s="101">
        <f t="shared" si="12"/>
        <v>0</v>
      </c>
      <c r="BD31" s="112">
        <f t="shared" si="14"/>
        <v>0</v>
      </c>
      <c r="BE31" s="136">
        <f t="shared" si="15"/>
        <v>0</v>
      </c>
      <c r="BF31" s="137">
        <f t="shared" si="16"/>
        <v>0</v>
      </c>
      <c r="BG31" s="113">
        <f t="shared" si="17"/>
        <v>0</v>
      </c>
    </row>
    <row r="32" spans="1:59" s="62" customFormat="1" outlineLevel="1" x14ac:dyDescent="0.25">
      <c r="A32" s="62" t="str">
        <f t="shared" si="9"/>
        <v>MURREYSRESIDENTIAL32RW4</v>
      </c>
      <c r="B32" s="81" t="s">
        <v>592</v>
      </c>
      <c r="C32" s="81" t="s">
        <v>593</v>
      </c>
      <c r="D32" s="82">
        <v>0</v>
      </c>
      <c r="E32" s="82">
        <v>0</v>
      </c>
      <c r="F32" s="83">
        <v>0</v>
      </c>
      <c r="G32" s="83">
        <v>0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116">
        <f t="shared" si="10"/>
        <v>0</v>
      </c>
      <c r="S32" s="83">
        <f t="shared" si="3"/>
        <v>0</v>
      </c>
      <c r="T32" s="83">
        <f t="shared" si="3"/>
        <v>0</v>
      </c>
      <c r="U32" s="83">
        <f t="shared" si="18"/>
        <v>0</v>
      </c>
      <c r="V32" s="83">
        <f t="shared" si="18"/>
        <v>0</v>
      </c>
      <c r="W32" s="83">
        <f t="shared" si="18"/>
        <v>0</v>
      </c>
      <c r="X32" s="83">
        <f t="shared" si="18"/>
        <v>0</v>
      </c>
      <c r="Y32" s="83">
        <f t="shared" si="18"/>
        <v>0</v>
      </c>
      <c r="Z32" s="83">
        <f t="shared" si="18"/>
        <v>0</v>
      </c>
      <c r="AA32" s="83">
        <f t="shared" si="18"/>
        <v>0</v>
      </c>
      <c r="AB32" s="83">
        <f t="shared" si="18"/>
        <v>0</v>
      </c>
      <c r="AC32" s="83">
        <f t="shared" si="18"/>
        <v>0</v>
      </c>
      <c r="AD32" s="83">
        <f t="shared" si="18"/>
        <v>0</v>
      </c>
      <c r="AE32" s="83">
        <f t="shared" si="11"/>
        <v>0</v>
      </c>
      <c r="AF32" s="83"/>
      <c r="AH32" s="83"/>
      <c r="AI32" s="83"/>
      <c r="BB32" s="101">
        <f t="shared" si="12"/>
        <v>0</v>
      </c>
      <c r="BD32" s="112">
        <f t="shared" si="14"/>
        <v>0</v>
      </c>
      <c r="BE32" s="136">
        <f t="shared" si="15"/>
        <v>0</v>
      </c>
      <c r="BF32" s="137">
        <f t="shared" si="16"/>
        <v>0</v>
      </c>
      <c r="BG32" s="113">
        <f t="shared" si="17"/>
        <v>0</v>
      </c>
    </row>
    <row r="33" spans="1:59" s="62" customFormat="1" outlineLevel="1" x14ac:dyDescent="0.25">
      <c r="A33" s="62" t="str">
        <f t="shared" si="9"/>
        <v>MURREYSRESIDENTIAL32RW4NR</v>
      </c>
      <c r="B33" s="81" t="s">
        <v>594</v>
      </c>
      <c r="C33" s="81" t="s">
        <v>595</v>
      </c>
      <c r="D33" s="82">
        <v>0</v>
      </c>
      <c r="E33" s="82">
        <v>0</v>
      </c>
      <c r="F33" s="83">
        <v>0</v>
      </c>
      <c r="G33" s="83">
        <v>0</v>
      </c>
      <c r="H33" s="83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3">
        <v>0</v>
      </c>
      <c r="O33" s="83">
        <v>0</v>
      </c>
      <c r="P33" s="83">
        <v>0</v>
      </c>
      <c r="Q33" s="83">
        <v>0</v>
      </c>
      <c r="R33" s="116">
        <f t="shared" si="10"/>
        <v>0</v>
      </c>
      <c r="S33" s="83">
        <f t="shared" si="3"/>
        <v>0</v>
      </c>
      <c r="T33" s="83">
        <f t="shared" si="3"/>
        <v>0</v>
      </c>
      <c r="U33" s="83">
        <f t="shared" si="18"/>
        <v>0</v>
      </c>
      <c r="V33" s="83">
        <f t="shared" si="18"/>
        <v>0</v>
      </c>
      <c r="W33" s="83">
        <f t="shared" si="18"/>
        <v>0</v>
      </c>
      <c r="X33" s="83">
        <f t="shared" si="18"/>
        <v>0</v>
      </c>
      <c r="Y33" s="83">
        <f t="shared" si="18"/>
        <v>0</v>
      </c>
      <c r="Z33" s="83">
        <f t="shared" si="18"/>
        <v>0</v>
      </c>
      <c r="AA33" s="83">
        <f t="shared" si="18"/>
        <v>0</v>
      </c>
      <c r="AB33" s="83">
        <f t="shared" si="18"/>
        <v>0</v>
      </c>
      <c r="AC33" s="83">
        <f t="shared" si="18"/>
        <v>0</v>
      </c>
      <c r="AD33" s="83">
        <f t="shared" si="18"/>
        <v>0</v>
      </c>
      <c r="AE33" s="83">
        <f t="shared" si="11"/>
        <v>0</v>
      </c>
      <c r="AF33" s="83"/>
      <c r="AH33" s="83"/>
      <c r="AI33" s="83"/>
      <c r="BB33" s="101">
        <f t="shared" si="12"/>
        <v>0</v>
      </c>
      <c r="BD33" s="112">
        <f t="shared" si="14"/>
        <v>0</v>
      </c>
      <c r="BE33" s="136">
        <f t="shared" si="15"/>
        <v>0</v>
      </c>
      <c r="BF33" s="137">
        <f t="shared" si="16"/>
        <v>0</v>
      </c>
      <c r="BG33" s="113">
        <f t="shared" si="17"/>
        <v>0</v>
      </c>
    </row>
    <row r="34" spans="1:59" s="62" customFormat="1" outlineLevel="1" x14ac:dyDescent="0.25">
      <c r="A34" s="62" t="str">
        <f t="shared" si="9"/>
        <v>MURREYSRESIDENTIAL32RW5</v>
      </c>
      <c r="B34" s="81" t="s">
        <v>596</v>
      </c>
      <c r="C34" s="81" t="s">
        <v>597</v>
      </c>
      <c r="D34" s="82">
        <v>0</v>
      </c>
      <c r="E34" s="82">
        <v>0</v>
      </c>
      <c r="F34" s="83">
        <v>0</v>
      </c>
      <c r="G34" s="83">
        <v>0</v>
      </c>
      <c r="H34" s="83">
        <v>0</v>
      </c>
      <c r="I34" s="83">
        <v>0</v>
      </c>
      <c r="J34" s="83">
        <v>0</v>
      </c>
      <c r="K34" s="83">
        <v>0</v>
      </c>
      <c r="L34" s="83">
        <v>0</v>
      </c>
      <c r="M34" s="83">
        <v>0</v>
      </c>
      <c r="N34" s="83">
        <v>0</v>
      </c>
      <c r="O34" s="83">
        <v>0</v>
      </c>
      <c r="P34" s="83">
        <v>0</v>
      </c>
      <c r="Q34" s="83">
        <v>0</v>
      </c>
      <c r="R34" s="116">
        <f t="shared" si="10"/>
        <v>0</v>
      </c>
      <c r="S34" s="83">
        <f t="shared" si="3"/>
        <v>0</v>
      </c>
      <c r="T34" s="83">
        <f t="shared" si="3"/>
        <v>0</v>
      </c>
      <c r="U34" s="83">
        <f t="shared" si="18"/>
        <v>0</v>
      </c>
      <c r="V34" s="83">
        <f t="shared" si="18"/>
        <v>0</v>
      </c>
      <c r="W34" s="83">
        <f t="shared" si="18"/>
        <v>0</v>
      </c>
      <c r="X34" s="83">
        <f t="shared" si="18"/>
        <v>0</v>
      </c>
      <c r="Y34" s="83">
        <f t="shared" si="18"/>
        <v>0</v>
      </c>
      <c r="Z34" s="83">
        <f t="shared" si="18"/>
        <v>0</v>
      </c>
      <c r="AA34" s="83">
        <f t="shared" si="18"/>
        <v>0</v>
      </c>
      <c r="AB34" s="83">
        <f t="shared" si="18"/>
        <v>0</v>
      </c>
      <c r="AC34" s="83">
        <f t="shared" si="18"/>
        <v>0</v>
      </c>
      <c r="AD34" s="83">
        <f t="shared" si="18"/>
        <v>0</v>
      </c>
      <c r="AE34" s="83">
        <f t="shared" si="11"/>
        <v>0</v>
      </c>
      <c r="AF34" s="83"/>
      <c r="AH34" s="83"/>
      <c r="AI34" s="83"/>
      <c r="BB34" s="101">
        <f t="shared" si="12"/>
        <v>0</v>
      </c>
      <c r="BD34" s="112">
        <f t="shared" si="14"/>
        <v>0</v>
      </c>
      <c r="BE34" s="136">
        <f t="shared" si="15"/>
        <v>0</v>
      </c>
      <c r="BF34" s="137">
        <f t="shared" si="16"/>
        <v>0</v>
      </c>
      <c r="BG34" s="113">
        <f t="shared" si="17"/>
        <v>0</v>
      </c>
    </row>
    <row r="35" spans="1:59" s="62" customFormat="1" outlineLevel="1" x14ac:dyDescent="0.25">
      <c r="A35" s="62" t="str">
        <f t="shared" si="9"/>
        <v>MURREYSRESIDENTIAL32RW5NR</v>
      </c>
      <c r="B35" s="81" t="s">
        <v>598</v>
      </c>
      <c r="C35" s="81" t="s">
        <v>599</v>
      </c>
      <c r="D35" s="82">
        <v>0</v>
      </c>
      <c r="E35" s="82">
        <v>0</v>
      </c>
      <c r="F35" s="83">
        <v>0</v>
      </c>
      <c r="G35" s="83">
        <v>0</v>
      </c>
      <c r="H35" s="83">
        <v>0</v>
      </c>
      <c r="I35" s="83">
        <v>0</v>
      </c>
      <c r="J35" s="83">
        <v>0</v>
      </c>
      <c r="K35" s="83">
        <v>0</v>
      </c>
      <c r="L35" s="83">
        <v>0</v>
      </c>
      <c r="M35" s="83">
        <v>0</v>
      </c>
      <c r="N35" s="83">
        <v>0</v>
      </c>
      <c r="O35" s="83">
        <v>0</v>
      </c>
      <c r="P35" s="83">
        <v>0</v>
      </c>
      <c r="Q35" s="83">
        <v>0</v>
      </c>
      <c r="R35" s="116">
        <f t="shared" si="10"/>
        <v>0</v>
      </c>
      <c r="S35" s="83">
        <f t="shared" si="3"/>
        <v>0</v>
      </c>
      <c r="T35" s="83">
        <f t="shared" si="3"/>
        <v>0</v>
      </c>
      <c r="U35" s="83">
        <f t="shared" si="18"/>
        <v>0</v>
      </c>
      <c r="V35" s="83">
        <f t="shared" si="18"/>
        <v>0</v>
      </c>
      <c r="W35" s="83">
        <f t="shared" si="18"/>
        <v>0</v>
      </c>
      <c r="X35" s="83">
        <f t="shared" si="18"/>
        <v>0</v>
      </c>
      <c r="Y35" s="83">
        <f t="shared" si="18"/>
        <v>0</v>
      </c>
      <c r="Z35" s="83">
        <f t="shared" si="18"/>
        <v>0</v>
      </c>
      <c r="AA35" s="83">
        <f t="shared" si="18"/>
        <v>0</v>
      </c>
      <c r="AB35" s="83">
        <f t="shared" si="18"/>
        <v>0</v>
      </c>
      <c r="AC35" s="83">
        <f t="shared" si="18"/>
        <v>0</v>
      </c>
      <c r="AD35" s="83">
        <f t="shared" si="18"/>
        <v>0</v>
      </c>
      <c r="AE35" s="83">
        <f t="shared" si="11"/>
        <v>0</v>
      </c>
      <c r="AF35" s="83"/>
      <c r="AH35" s="83"/>
      <c r="AI35" s="83"/>
      <c r="BB35" s="101">
        <f t="shared" si="12"/>
        <v>0</v>
      </c>
      <c r="BD35" s="112">
        <f t="shared" si="14"/>
        <v>0</v>
      </c>
      <c r="BE35" s="136">
        <f t="shared" si="15"/>
        <v>0</v>
      </c>
      <c r="BF35" s="137">
        <f t="shared" si="16"/>
        <v>0</v>
      </c>
      <c r="BG35" s="113">
        <f t="shared" si="17"/>
        <v>0</v>
      </c>
    </row>
    <row r="36" spans="1:59" s="62" customFormat="1" outlineLevel="1" x14ac:dyDescent="0.25">
      <c r="A36" s="62" t="str">
        <f t="shared" si="9"/>
        <v>MURREYSRESIDENTIAL32RW6</v>
      </c>
      <c r="B36" s="81" t="s">
        <v>600</v>
      </c>
      <c r="C36" s="81" t="s">
        <v>601</v>
      </c>
      <c r="D36" s="82">
        <v>0</v>
      </c>
      <c r="E36" s="82">
        <v>0</v>
      </c>
      <c r="F36" s="83">
        <v>0</v>
      </c>
      <c r="G36" s="83">
        <v>0</v>
      </c>
      <c r="H36" s="83">
        <v>0</v>
      </c>
      <c r="I36" s="83">
        <v>0</v>
      </c>
      <c r="J36" s="83">
        <v>0</v>
      </c>
      <c r="K36" s="83">
        <v>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83">
        <v>0</v>
      </c>
      <c r="R36" s="116">
        <f t="shared" si="10"/>
        <v>0</v>
      </c>
      <c r="S36" s="83">
        <f t="shared" si="3"/>
        <v>0</v>
      </c>
      <c r="T36" s="83">
        <f t="shared" si="3"/>
        <v>0</v>
      </c>
      <c r="U36" s="83">
        <f t="shared" si="18"/>
        <v>0</v>
      </c>
      <c r="V36" s="83">
        <f t="shared" si="18"/>
        <v>0</v>
      </c>
      <c r="W36" s="83">
        <f t="shared" si="18"/>
        <v>0</v>
      </c>
      <c r="X36" s="83">
        <f t="shared" si="18"/>
        <v>0</v>
      </c>
      <c r="Y36" s="83">
        <f t="shared" si="18"/>
        <v>0</v>
      </c>
      <c r="Z36" s="83">
        <f t="shared" si="18"/>
        <v>0</v>
      </c>
      <c r="AA36" s="83">
        <f t="shared" si="18"/>
        <v>0</v>
      </c>
      <c r="AB36" s="83">
        <f t="shared" si="18"/>
        <v>0</v>
      </c>
      <c r="AC36" s="83">
        <f t="shared" si="18"/>
        <v>0</v>
      </c>
      <c r="AD36" s="83">
        <f t="shared" si="18"/>
        <v>0</v>
      </c>
      <c r="AE36" s="83">
        <f t="shared" si="11"/>
        <v>0</v>
      </c>
      <c r="AF36" s="83"/>
      <c r="AH36" s="83"/>
      <c r="AI36" s="83"/>
      <c r="BB36" s="101">
        <f t="shared" si="12"/>
        <v>0</v>
      </c>
      <c r="BD36" s="112">
        <f t="shared" si="14"/>
        <v>0</v>
      </c>
      <c r="BE36" s="136">
        <f t="shared" si="15"/>
        <v>0</v>
      </c>
      <c r="BF36" s="137">
        <f t="shared" si="16"/>
        <v>0</v>
      </c>
      <c r="BG36" s="113">
        <f t="shared" si="17"/>
        <v>0</v>
      </c>
    </row>
    <row r="37" spans="1:59" s="62" customFormat="1" outlineLevel="1" x14ac:dyDescent="0.25">
      <c r="A37" s="62" t="str">
        <f t="shared" si="9"/>
        <v>MURREYSRESIDENTIAL10RW1</v>
      </c>
      <c r="B37" s="81" t="s">
        <v>602</v>
      </c>
      <c r="C37" s="81" t="s">
        <v>603</v>
      </c>
      <c r="D37" s="82">
        <v>0</v>
      </c>
      <c r="E37" s="82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116">
        <f t="shared" si="10"/>
        <v>0</v>
      </c>
      <c r="S37" s="83">
        <f t="shared" si="3"/>
        <v>0</v>
      </c>
      <c r="T37" s="83">
        <f t="shared" si="3"/>
        <v>0</v>
      </c>
      <c r="U37" s="83">
        <f t="shared" si="18"/>
        <v>0</v>
      </c>
      <c r="V37" s="83">
        <f t="shared" si="18"/>
        <v>0</v>
      </c>
      <c r="W37" s="83">
        <f t="shared" si="18"/>
        <v>0</v>
      </c>
      <c r="X37" s="83">
        <f t="shared" si="18"/>
        <v>0</v>
      </c>
      <c r="Y37" s="83">
        <f t="shared" si="18"/>
        <v>0</v>
      </c>
      <c r="Z37" s="83">
        <f t="shared" si="18"/>
        <v>0</v>
      </c>
      <c r="AA37" s="83">
        <f t="shared" si="18"/>
        <v>0</v>
      </c>
      <c r="AB37" s="83">
        <f t="shared" si="18"/>
        <v>0</v>
      </c>
      <c r="AC37" s="83">
        <f t="shared" si="18"/>
        <v>0</v>
      </c>
      <c r="AD37" s="83">
        <f t="shared" si="18"/>
        <v>0</v>
      </c>
      <c r="AE37" s="83">
        <f t="shared" si="11"/>
        <v>0</v>
      </c>
      <c r="AF37" s="83"/>
      <c r="AH37" s="83"/>
      <c r="AI37" s="83"/>
      <c r="BB37" s="101">
        <f t="shared" si="12"/>
        <v>0</v>
      </c>
      <c r="BD37" s="112">
        <f t="shared" si="14"/>
        <v>0</v>
      </c>
      <c r="BE37" s="136">
        <f t="shared" si="15"/>
        <v>0</v>
      </c>
      <c r="BF37" s="137">
        <f t="shared" si="16"/>
        <v>0</v>
      </c>
      <c r="BG37" s="113">
        <f t="shared" si="17"/>
        <v>0</v>
      </c>
    </row>
    <row r="38" spans="1:59" s="62" customFormat="1" outlineLevel="1" x14ac:dyDescent="0.25">
      <c r="A38" s="62" t="str">
        <f t="shared" si="9"/>
        <v>MURREYSRESIDENTIAL32RW6R</v>
      </c>
      <c r="B38" s="81" t="s">
        <v>604</v>
      </c>
      <c r="C38" s="81" t="s">
        <v>605</v>
      </c>
      <c r="D38" s="82">
        <v>0</v>
      </c>
      <c r="E38" s="82">
        <v>0</v>
      </c>
      <c r="F38" s="83">
        <v>0</v>
      </c>
      <c r="G38" s="83">
        <v>0</v>
      </c>
      <c r="H38" s="83">
        <v>0</v>
      </c>
      <c r="I38" s="83">
        <v>0</v>
      </c>
      <c r="J38" s="83">
        <v>0</v>
      </c>
      <c r="K38" s="83">
        <v>0</v>
      </c>
      <c r="L38" s="83">
        <v>0</v>
      </c>
      <c r="M38" s="83">
        <v>0</v>
      </c>
      <c r="N38" s="83">
        <v>0</v>
      </c>
      <c r="O38" s="83">
        <v>0</v>
      </c>
      <c r="P38" s="83">
        <v>0</v>
      </c>
      <c r="Q38" s="83">
        <v>0</v>
      </c>
      <c r="R38" s="116">
        <f t="shared" si="10"/>
        <v>0</v>
      </c>
      <c r="S38" s="83">
        <f t="shared" si="3"/>
        <v>0</v>
      </c>
      <c r="T38" s="83">
        <f t="shared" si="3"/>
        <v>0</v>
      </c>
      <c r="U38" s="83">
        <f t="shared" si="18"/>
        <v>0</v>
      </c>
      <c r="V38" s="83">
        <f t="shared" si="18"/>
        <v>0</v>
      </c>
      <c r="W38" s="83">
        <f t="shared" si="18"/>
        <v>0</v>
      </c>
      <c r="X38" s="83">
        <f t="shared" si="18"/>
        <v>0</v>
      </c>
      <c r="Y38" s="83">
        <f t="shared" si="18"/>
        <v>0</v>
      </c>
      <c r="Z38" s="83">
        <f t="shared" si="18"/>
        <v>0</v>
      </c>
      <c r="AA38" s="83">
        <f t="shared" si="18"/>
        <v>0</v>
      </c>
      <c r="AB38" s="83">
        <f t="shared" si="18"/>
        <v>0</v>
      </c>
      <c r="AC38" s="83">
        <f t="shared" si="18"/>
        <v>0</v>
      </c>
      <c r="AD38" s="83">
        <f t="shared" si="18"/>
        <v>0</v>
      </c>
      <c r="AE38" s="83">
        <f t="shared" si="11"/>
        <v>0</v>
      </c>
      <c r="AF38" s="83"/>
      <c r="AH38" s="83"/>
      <c r="AI38" s="83"/>
      <c r="BB38" s="101">
        <f t="shared" si="12"/>
        <v>0</v>
      </c>
      <c r="BD38" s="112">
        <f t="shared" si="14"/>
        <v>0</v>
      </c>
      <c r="BE38" s="136">
        <f t="shared" si="15"/>
        <v>0</v>
      </c>
      <c r="BF38" s="137">
        <f t="shared" si="16"/>
        <v>0</v>
      </c>
      <c r="BG38" s="113">
        <f t="shared" si="17"/>
        <v>0</v>
      </c>
    </row>
    <row r="39" spans="1:59" s="62" customFormat="1" outlineLevel="1" x14ac:dyDescent="0.25">
      <c r="A39" s="62" t="str">
        <f t="shared" si="9"/>
        <v>MURREYSRESIDENTIAL35RM1</v>
      </c>
      <c r="B39" s="81" t="s">
        <v>606</v>
      </c>
      <c r="C39" s="81" t="s">
        <v>607</v>
      </c>
      <c r="D39" s="82">
        <v>12.46</v>
      </c>
      <c r="E39" s="82">
        <v>12.51</v>
      </c>
      <c r="F39" s="83">
        <v>6691.0199999999995</v>
      </c>
      <c r="G39" s="83">
        <v>6691.24</v>
      </c>
      <c r="H39" s="83">
        <v>6723.8050000000012</v>
      </c>
      <c r="I39" s="83">
        <v>6561.5499999999993</v>
      </c>
      <c r="J39" s="83">
        <v>6542.83</v>
      </c>
      <c r="K39" s="83">
        <v>6442.65</v>
      </c>
      <c r="L39" s="83">
        <v>6383.94</v>
      </c>
      <c r="M39" s="83">
        <v>6372.6</v>
      </c>
      <c r="N39" s="83">
        <v>6326.3850000000002</v>
      </c>
      <c r="O39" s="83">
        <v>6263.73</v>
      </c>
      <c r="P39" s="83">
        <v>6246.4900000000007</v>
      </c>
      <c r="Q39" s="83">
        <v>6164.98</v>
      </c>
      <c r="R39" s="116">
        <f t="shared" si="10"/>
        <v>77411.22</v>
      </c>
      <c r="S39" s="83">
        <f t="shared" si="3"/>
        <v>536.99999999999989</v>
      </c>
      <c r="T39" s="83">
        <f t="shared" si="3"/>
        <v>537.01765650080256</v>
      </c>
      <c r="U39" s="83">
        <f t="shared" si="18"/>
        <v>537.47442046362926</v>
      </c>
      <c r="V39" s="83">
        <f t="shared" si="18"/>
        <v>524.50439648281372</v>
      </c>
      <c r="W39" s="83">
        <f t="shared" si="18"/>
        <v>523.00799360511587</v>
      </c>
      <c r="X39" s="83">
        <f t="shared" si="18"/>
        <v>515</v>
      </c>
      <c r="Y39" s="83">
        <f t="shared" si="18"/>
        <v>510.30695443645084</v>
      </c>
      <c r="Z39" s="83">
        <f t="shared" si="18"/>
        <v>509.400479616307</v>
      </c>
      <c r="AA39" s="83">
        <f t="shared" si="18"/>
        <v>505.70623501199043</v>
      </c>
      <c r="AB39" s="83">
        <f t="shared" si="18"/>
        <v>500.69784172661866</v>
      </c>
      <c r="AC39" s="83">
        <f t="shared" si="18"/>
        <v>499.31974420463638</v>
      </c>
      <c r="AD39" s="83">
        <f t="shared" si="18"/>
        <v>492.80415667466025</v>
      </c>
      <c r="AE39" s="83">
        <f t="shared" si="11"/>
        <v>516.01998989358549</v>
      </c>
      <c r="AF39" s="83"/>
      <c r="AH39" s="83"/>
      <c r="AI39" s="83"/>
      <c r="BB39" s="101">
        <f t="shared" si="12"/>
        <v>77464.920882825056</v>
      </c>
      <c r="BD39" s="112">
        <f t="shared" si="14"/>
        <v>12.57</v>
      </c>
      <c r="BE39" s="136">
        <f t="shared" si="15"/>
        <v>77836.455275548433</v>
      </c>
      <c r="BF39" s="137">
        <f t="shared" si="16"/>
        <v>371.5343927233771</v>
      </c>
      <c r="BG39" s="113">
        <f t="shared" si="17"/>
        <v>4.7961630695443069E-3</v>
      </c>
    </row>
    <row r="40" spans="1:59" s="62" customFormat="1" outlineLevel="1" x14ac:dyDescent="0.25">
      <c r="A40" s="62" t="str">
        <f t="shared" si="9"/>
        <v>MURREYSRESIDENTIAL35RW1N</v>
      </c>
      <c r="B40" s="81" t="s">
        <v>608</v>
      </c>
      <c r="C40" s="81" t="s">
        <v>609</v>
      </c>
      <c r="D40" s="82">
        <v>21.93</v>
      </c>
      <c r="E40" s="82">
        <v>22.13</v>
      </c>
      <c r="F40" s="83">
        <v>8094.9400000000005</v>
      </c>
      <c r="G40" s="83">
        <v>7871.49</v>
      </c>
      <c r="H40" s="83">
        <v>7763.4250000000002</v>
      </c>
      <c r="I40" s="83">
        <v>7809.1250000000009</v>
      </c>
      <c r="J40" s="83">
        <v>7792.5300000000007</v>
      </c>
      <c r="K40" s="83">
        <v>7734.4450000000006</v>
      </c>
      <c r="L40" s="83">
        <v>7675.8199999999988</v>
      </c>
      <c r="M40" s="83">
        <v>7664.32</v>
      </c>
      <c r="N40" s="83">
        <v>7602.8550000000005</v>
      </c>
      <c r="O40" s="83">
        <v>7575.12</v>
      </c>
      <c r="P40" s="83">
        <v>7490.3149999999996</v>
      </c>
      <c r="Q40" s="83">
        <v>7418.8600000000006</v>
      </c>
      <c r="R40" s="116">
        <f t="shared" si="10"/>
        <v>92493.244999999995</v>
      </c>
      <c r="S40" s="83">
        <f t="shared" si="3"/>
        <v>369.12631098951209</v>
      </c>
      <c r="T40" s="83">
        <f t="shared" si="3"/>
        <v>358.93707250341998</v>
      </c>
      <c r="U40" s="83">
        <f t="shared" si="18"/>
        <v>350.80998644374154</v>
      </c>
      <c r="V40" s="83">
        <f t="shared" si="18"/>
        <v>352.87505648441038</v>
      </c>
      <c r="W40" s="83">
        <f t="shared" si="18"/>
        <v>352.12516945323097</v>
      </c>
      <c r="X40" s="83">
        <f t="shared" si="18"/>
        <v>349.50045187528247</v>
      </c>
      <c r="Y40" s="83">
        <f t="shared" si="18"/>
        <v>346.85133303208312</v>
      </c>
      <c r="Z40" s="83">
        <f t="shared" si="18"/>
        <v>346.33167645729776</v>
      </c>
      <c r="AA40" s="83">
        <f t="shared" si="18"/>
        <v>343.5542250338907</v>
      </c>
      <c r="AB40" s="83">
        <f t="shared" si="18"/>
        <v>342.30094893809309</v>
      </c>
      <c r="AC40" s="83">
        <f t="shared" si="18"/>
        <v>338.46882060551286</v>
      </c>
      <c r="AD40" s="83">
        <f t="shared" si="18"/>
        <v>335.23994577496615</v>
      </c>
      <c r="AE40" s="83">
        <f t="shared" si="11"/>
        <v>348.8434164659534</v>
      </c>
      <c r="AF40" s="83"/>
      <c r="AH40" s="83"/>
      <c r="AI40" s="83"/>
      <c r="BB40" s="101">
        <f t="shared" si="12"/>
        <v>92638.857676698579</v>
      </c>
      <c r="BD40" s="112">
        <f t="shared" si="14"/>
        <v>22.23</v>
      </c>
      <c r="BE40" s="136">
        <f t="shared" si="15"/>
        <v>93057.469776457729</v>
      </c>
      <c r="BF40" s="137">
        <f t="shared" si="16"/>
        <v>418.61209975914971</v>
      </c>
      <c r="BG40" s="113">
        <f t="shared" si="17"/>
        <v>4.5187528242205764E-3</v>
      </c>
    </row>
    <row r="41" spans="1:59" s="62" customFormat="1" outlineLevel="1" x14ac:dyDescent="0.25">
      <c r="A41" s="62" t="str">
        <f t="shared" si="9"/>
        <v>MURREYSRESIDENTIAL35ROCPU</v>
      </c>
      <c r="B41" s="81" t="s">
        <v>610</v>
      </c>
      <c r="C41" s="81" t="s">
        <v>611</v>
      </c>
      <c r="D41" s="82">
        <v>13.91</v>
      </c>
      <c r="E41" s="82">
        <v>13.92</v>
      </c>
      <c r="F41" s="83">
        <v>27.82</v>
      </c>
      <c r="G41" s="83">
        <v>0</v>
      </c>
      <c r="H41" s="83">
        <v>27.84</v>
      </c>
      <c r="I41" s="83">
        <v>0</v>
      </c>
      <c r="J41" s="83">
        <v>0</v>
      </c>
      <c r="K41" s="83">
        <v>0</v>
      </c>
      <c r="L41" s="83">
        <v>55.68</v>
      </c>
      <c r="M41" s="83">
        <v>-27.92</v>
      </c>
      <c r="N41" s="83">
        <v>13.96</v>
      </c>
      <c r="O41" s="83">
        <v>41.88</v>
      </c>
      <c r="P41" s="83">
        <v>13.96</v>
      </c>
      <c r="Q41" s="83">
        <v>69.800000000000011</v>
      </c>
      <c r="R41" s="116">
        <f t="shared" si="10"/>
        <v>223.02</v>
      </c>
      <c r="S41" s="83">
        <f t="shared" si="3"/>
        <v>2</v>
      </c>
      <c r="T41" s="83">
        <f t="shared" si="3"/>
        <v>0</v>
      </c>
      <c r="U41" s="83">
        <f t="shared" si="18"/>
        <v>2</v>
      </c>
      <c r="V41" s="83">
        <f t="shared" si="18"/>
        <v>0</v>
      </c>
      <c r="W41" s="83">
        <f t="shared" si="18"/>
        <v>0</v>
      </c>
      <c r="X41" s="83">
        <f t="shared" si="18"/>
        <v>0</v>
      </c>
      <c r="Y41" s="83">
        <f t="shared" si="18"/>
        <v>4</v>
      </c>
      <c r="Z41" s="83">
        <f t="shared" si="18"/>
        <v>-2.0057471264367819</v>
      </c>
      <c r="AA41" s="83">
        <f t="shared" si="18"/>
        <v>1.0028735632183909</v>
      </c>
      <c r="AB41" s="83">
        <f t="shared" si="18"/>
        <v>3.0086206896551726</v>
      </c>
      <c r="AC41" s="83">
        <f t="shared" si="18"/>
        <v>1.0028735632183909</v>
      </c>
      <c r="AD41" s="83">
        <f t="shared" si="18"/>
        <v>5.0143678160919549</v>
      </c>
      <c r="AE41" s="83">
        <f t="shared" si="11"/>
        <v>1.3352490421455938</v>
      </c>
      <c r="AF41" s="83"/>
      <c r="AH41" s="83"/>
      <c r="AI41" s="83"/>
      <c r="BB41" s="101">
        <f t="shared" si="12"/>
        <v>223.04</v>
      </c>
      <c r="BD41" s="112">
        <f t="shared" si="14"/>
        <v>13.99</v>
      </c>
      <c r="BE41" s="136">
        <f t="shared" si="15"/>
        <v>224.16160919540229</v>
      </c>
      <c r="BF41" s="137">
        <f t="shared" si="16"/>
        <v>1.1216091954023</v>
      </c>
      <c r="BG41" s="113">
        <f t="shared" si="17"/>
        <v>5.0287356321839132E-3</v>
      </c>
    </row>
    <row r="42" spans="1:59" s="62" customFormat="1" outlineLevel="1" x14ac:dyDescent="0.25">
      <c r="A42" s="62" t="str">
        <f t="shared" si="9"/>
        <v>MURREYSRESIDENTIAL35RW1R</v>
      </c>
      <c r="B42" s="81" t="s">
        <v>612</v>
      </c>
      <c r="C42" s="81" t="s">
        <v>613</v>
      </c>
      <c r="D42" s="82">
        <v>20.93</v>
      </c>
      <c r="E42" s="82">
        <v>21.13</v>
      </c>
      <c r="F42" s="83">
        <v>673169.91500000004</v>
      </c>
      <c r="G42" s="83">
        <v>671224.46000000008</v>
      </c>
      <c r="H42" s="83">
        <v>676852.9850000001</v>
      </c>
      <c r="I42" s="83">
        <v>677957.8949999999</v>
      </c>
      <c r="J42" s="83">
        <v>673550.01500000001</v>
      </c>
      <c r="K42" s="83">
        <v>675471.72</v>
      </c>
      <c r="L42" s="83">
        <v>674141.78000000014</v>
      </c>
      <c r="M42" s="83">
        <v>674462.73</v>
      </c>
      <c r="N42" s="83">
        <v>672524.48999999987</v>
      </c>
      <c r="O42" s="83">
        <v>667516.17500000005</v>
      </c>
      <c r="P42" s="83">
        <v>663333.75500000012</v>
      </c>
      <c r="Q42" s="83">
        <v>659933.52999999991</v>
      </c>
      <c r="R42" s="116">
        <f t="shared" si="10"/>
        <v>8060139.4500000002</v>
      </c>
      <c r="S42" s="83">
        <f t="shared" si="3"/>
        <v>32162.919971333016</v>
      </c>
      <c r="T42" s="83">
        <f t="shared" si="3"/>
        <v>32069.96942188247</v>
      </c>
      <c r="U42" s="83">
        <f t="shared" si="18"/>
        <v>32032.79626123995</v>
      </c>
      <c r="V42" s="83">
        <f t="shared" si="18"/>
        <v>32085.087316611451</v>
      </c>
      <c r="W42" s="83">
        <f t="shared" si="18"/>
        <v>31876.479649787034</v>
      </c>
      <c r="X42" s="83">
        <f t="shared" si="18"/>
        <v>31967.426407950781</v>
      </c>
      <c r="Y42" s="83">
        <f t="shared" si="18"/>
        <v>31904.485565546624</v>
      </c>
      <c r="Z42" s="83">
        <f t="shared" si="18"/>
        <v>31919.67486985329</v>
      </c>
      <c r="AA42" s="83">
        <f t="shared" si="18"/>
        <v>31827.945575011829</v>
      </c>
      <c r="AB42" s="83">
        <f t="shared" si="18"/>
        <v>31590.921675343117</v>
      </c>
      <c r="AC42" s="83">
        <f t="shared" si="18"/>
        <v>31392.984145764323</v>
      </c>
      <c r="AD42" s="83">
        <f t="shared" si="18"/>
        <v>31232.064836725032</v>
      </c>
      <c r="AE42" s="83">
        <f t="shared" si="11"/>
        <v>31838.562974754077</v>
      </c>
      <c r="AF42" s="83"/>
      <c r="AH42" s="83"/>
      <c r="AI42" s="83"/>
      <c r="BB42" s="101">
        <f t="shared" si="12"/>
        <v>8072986.0278786439</v>
      </c>
      <c r="BD42" s="112">
        <f t="shared" si="14"/>
        <v>21.23</v>
      </c>
      <c r="BE42" s="136">
        <f t="shared" si="15"/>
        <v>8111192.3034483483</v>
      </c>
      <c r="BF42" s="137">
        <f t="shared" si="16"/>
        <v>38206.275569704361</v>
      </c>
      <c r="BG42" s="113">
        <f t="shared" si="17"/>
        <v>4.7326076668243542E-3</v>
      </c>
    </row>
    <row r="43" spans="1:59" s="62" customFormat="1" outlineLevel="1" x14ac:dyDescent="0.25">
      <c r="A43" s="62" t="str">
        <f t="shared" si="9"/>
        <v>MURREYSRESIDENTIAL64RW1N</v>
      </c>
      <c r="B43" s="81" t="s">
        <v>614</v>
      </c>
      <c r="C43" s="81" t="s">
        <v>615</v>
      </c>
      <c r="D43" s="82">
        <v>0</v>
      </c>
      <c r="E43" s="82">
        <v>0</v>
      </c>
      <c r="F43" s="83">
        <v>0</v>
      </c>
      <c r="G43" s="83">
        <v>0</v>
      </c>
      <c r="H43" s="83">
        <v>0</v>
      </c>
      <c r="I43" s="83">
        <v>0</v>
      </c>
      <c r="J43" s="83">
        <v>0</v>
      </c>
      <c r="K43" s="83">
        <v>0</v>
      </c>
      <c r="L43" s="83">
        <v>0</v>
      </c>
      <c r="M43" s="83">
        <v>0</v>
      </c>
      <c r="N43" s="83">
        <v>0</v>
      </c>
      <c r="O43" s="83">
        <v>0</v>
      </c>
      <c r="P43" s="83">
        <v>0</v>
      </c>
      <c r="Q43" s="83">
        <v>0</v>
      </c>
      <c r="R43" s="116">
        <f t="shared" si="10"/>
        <v>0</v>
      </c>
      <c r="S43" s="83">
        <f t="shared" si="3"/>
        <v>0</v>
      </c>
      <c r="T43" s="83">
        <f t="shared" si="3"/>
        <v>0</v>
      </c>
      <c r="U43" s="83">
        <f t="shared" si="18"/>
        <v>0</v>
      </c>
      <c r="V43" s="83">
        <f t="shared" si="18"/>
        <v>0</v>
      </c>
      <c r="W43" s="83">
        <f t="shared" si="18"/>
        <v>0</v>
      </c>
      <c r="X43" s="83">
        <f t="shared" si="18"/>
        <v>0</v>
      </c>
      <c r="Y43" s="83">
        <f t="shared" si="18"/>
        <v>0</v>
      </c>
      <c r="Z43" s="83">
        <f t="shared" si="18"/>
        <v>0</v>
      </c>
      <c r="AA43" s="83">
        <f t="shared" si="18"/>
        <v>0</v>
      </c>
      <c r="AB43" s="83">
        <f t="shared" si="18"/>
        <v>0</v>
      </c>
      <c r="AC43" s="83">
        <f t="shared" si="18"/>
        <v>0</v>
      </c>
      <c r="AD43" s="83">
        <f t="shared" si="18"/>
        <v>0</v>
      </c>
      <c r="AE43" s="83">
        <f t="shared" si="11"/>
        <v>0</v>
      </c>
      <c r="AF43" s="83"/>
      <c r="AH43" s="83"/>
      <c r="AI43" s="83"/>
      <c r="BB43" s="101">
        <f t="shared" si="12"/>
        <v>0</v>
      </c>
      <c r="BD43" s="112">
        <f t="shared" si="14"/>
        <v>0</v>
      </c>
      <c r="BE43" s="136">
        <f t="shared" si="15"/>
        <v>0</v>
      </c>
      <c r="BF43" s="137">
        <f t="shared" si="16"/>
        <v>0</v>
      </c>
      <c r="BG43" s="113">
        <f t="shared" si="17"/>
        <v>0</v>
      </c>
    </row>
    <row r="44" spans="1:59" s="62" customFormat="1" outlineLevel="1" x14ac:dyDescent="0.25">
      <c r="A44" s="62" t="str">
        <f t="shared" si="9"/>
        <v>MURREYSRESIDENTIAL64RW1R</v>
      </c>
      <c r="B44" s="81" t="s">
        <v>616</v>
      </c>
      <c r="C44" s="81" t="s">
        <v>617</v>
      </c>
      <c r="D44" s="82">
        <v>0</v>
      </c>
      <c r="E44" s="82">
        <v>0</v>
      </c>
      <c r="F44" s="83">
        <v>0</v>
      </c>
      <c r="G44" s="83">
        <v>0</v>
      </c>
      <c r="H44" s="83">
        <v>0</v>
      </c>
      <c r="I44" s="83">
        <v>0</v>
      </c>
      <c r="J44" s="83">
        <v>0</v>
      </c>
      <c r="K44" s="83">
        <v>0</v>
      </c>
      <c r="L44" s="83">
        <v>0</v>
      </c>
      <c r="M44" s="83">
        <v>0</v>
      </c>
      <c r="N44" s="83">
        <v>0</v>
      </c>
      <c r="O44" s="83">
        <v>0</v>
      </c>
      <c r="P44" s="83">
        <v>0</v>
      </c>
      <c r="Q44" s="83">
        <v>0</v>
      </c>
      <c r="R44" s="116">
        <f t="shared" si="10"/>
        <v>0</v>
      </c>
      <c r="S44" s="83">
        <f t="shared" si="3"/>
        <v>0</v>
      </c>
      <c r="T44" s="83">
        <f t="shared" si="3"/>
        <v>0</v>
      </c>
      <c r="U44" s="83">
        <f t="shared" si="18"/>
        <v>0</v>
      </c>
      <c r="V44" s="83">
        <f t="shared" si="18"/>
        <v>0</v>
      </c>
      <c r="W44" s="83">
        <f t="shared" si="18"/>
        <v>0</v>
      </c>
      <c r="X44" s="83">
        <f t="shared" si="18"/>
        <v>0</v>
      </c>
      <c r="Y44" s="83">
        <f t="shared" si="18"/>
        <v>0</v>
      </c>
      <c r="Z44" s="83">
        <f t="shared" si="18"/>
        <v>0</v>
      </c>
      <c r="AA44" s="83">
        <f t="shared" si="18"/>
        <v>0</v>
      </c>
      <c r="AB44" s="83">
        <f t="shared" si="18"/>
        <v>0</v>
      </c>
      <c r="AC44" s="83">
        <f t="shared" si="18"/>
        <v>0</v>
      </c>
      <c r="AD44" s="83">
        <f t="shared" si="18"/>
        <v>0</v>
      </c>
      <c r="AE44" s="83">
        <f t="shared" si="11"/>
        <v>0</v>
      </c>
      <c r="AF44" s="83"/>
      <c r="AH44" s="83"/>
      <c r="AI44" s="83"/>
      <c r="BB44" s="101">
        <f t="shared" si="12"/>
        <v>0</v>
      </c>
      <c r="BD44" s="112">
        <f t="shared" si="14"/>
        <v>0</v>
      </c>
      <c r="BE44" s="136">
        <f t="shared" si="15"/>
        <v>0</v>
      </c>
      <c r="BF44" s="137">
        <f t="shared" si="16"/>
        <v>0</v>
      </c>
      <c r="BG44" s="113">
        <f t="shared" si="17"/>
        <v>0</v>
      </c>
    </row>
    <row r="45" spans="1:59" s="62" customFormat="1" outlineLevel="1" x14ac:dyDescent="0.25">
      <c r="A45" s="62" t="str">
        <f t="shared" si="9"/>
        <v>MURREYSRESIDENTIAL65RM1</v>
      </c>
      <c r="B45" s="81" t="s">
        <v>618</v>
      </c>
      <c r="C45" s="81" t="s">
        <v>619</v>
      </c>
      <c r="D45" s="82">
        <v>18.63</v>
      </c>
      <c r="E45" s="82">
        <v>18.690000000000001</v>
      </c>
      <c r="F45" s="83">
        <v>1434.5099999999998</v>
      </c>
      <c r="G45" s="83">
        <v>1491.63</v>
      </c>
      <c r="H45" s="83">
        <v>1578.0150000000001</v>
      </c>
      <c r="I45" s="83">
        <v>1728.8250000000003</v>
      </c>
      <c r="J45" s="83">
        <v>1603.5100000000002</v>
      </c>
      <c r="K45" s="83">
        <v>1668.9250000000002</v>
      </c>
      <c r="L45" s="83">
        <v>1598.9949999999999</v>
      </c>
      <c r="M45" s="83">
        <v>1535.73</v>
      </c>
      <c r="N45" s="83">
        <v>1602.27</v>
      </c>
      <c r="O45" s="83">
        <v>1536.68</v>
      </c>
      <c r="P45" s="83">
        <v>1461.72</v>
      </c>
      <c r="Q45" s="83">
        <v>1536.68</v>
      </c>
      <c r="R45" s="116">
        <f t="shared" si="10"/>
        <v>18777.490000000002</v>
      </c>
      <c r="S45" s="83">
        <f t="shared" si="3"/>
        <v>76.999999999999986</v>
      </c>
      <c r="T45" s="83">
        <f t="shared" si="3"/>
        <v>80.066022544283427</v>
      </c>
      <c r="U45" s="83">
        <f t="shared" si="18"/>
        <v>84.43097913322633</v>
      </c>
      <c r="V45" s="83">
        <f t="shared" si="18"/>
        <v>92.500000000000014</v>
      </c>
      <c r="W45" s="83">
        <f t="shared" si="18"/>
        <v>85.795077581594441</v>
      </c>
      <c r="X45" s="83">
        <f t="shared" si="18"/>
        <v>89.295077581594441</v>
      </c>
      <c r="Y45" s="83">
        <f t="shared" si="18"/>
        <v>85.553504547886561</v>
      </c>
      <c r="Z45" s="83">
        <f t="shared" si="18"/>
        <v>82.168539325842687</v>
      </c>
      <c r="AA45" s="83">
        <f t="shared" si="18"/>
        <v>85.728731942215077</v>
      </c>
      <c r="AB45" s="83">
        <f t="shared" si="18"/>
        <v>82.219368646334942</v>
      </c>
      <c r="AC45" s="83">
        <f t="shared" si="18"/>
        <v>78.208667736757619</v>
      </c>
      <c r="AD45" s="83">
        <f t="shared" si="18"/>
        <v>82.219368646334942</v>
      </c>
      <c r="AE45" s="83">
        <f t="shared" si="11"/>
        <v>83.765444807172528</v>
      </c>
      <c r="AF45" s="83"/>
      <c r="AH45" s="83"/>
      <c r="AI45" s="83"/>
      <c r="BB45" s="101">
        <f t="shared" si="12"/>
        <v>18786.913961352657</v>
      </c>
      <c r="BD45" s="112">
        <f t="shared" si="14"/>
        <v>18.78</v>
      </c>
      <c r="BE45" s="136">
        <f t="shared" si="15"/>
        <v>18877.380641744403</v>
      </c>
      <c r="BF45" s="137">
        <f t="shared" si="16"/>
        <v>90.466680391746195</v>
      </c>
      <c r="BG45" s="113">
        <f t="shared" si="17"/>
        <v>4.8154093097913242E-3</v>
      </c>
    </row>
    <row r="46" spans="1:59" s="62" customFormat="1" outlineLevel="1" x14ac:dyDescent="0.25">
      <c r="A46" s="62" t="str">
        <f t="shared" si="9"/>
        <v>MURREYSRESIDENTIAL65RW1N</v>
      </c>
      <c r="B46" s="81" t="s">
        <v>620</v>
      </c>
      <c r="C46" s="81" t="s">
        <v>621</v>
      </c>
      <c r="D46" s="82">
        <v>32.729999999999997</v>
      </c>
      <c r="E46" s="82">
        <v>33</v>
      </c>
      <c r="F46" s="83">
        <v>5895.4949999999999</v>
      </c>
      <c r="G46" s="83">
        <v>5800.1049999999996</v>
      </c>
      <c r="H46" s="83">
        <v>5768.46</v>
      </c>
      <c r="I46" s="83">
        <v>5737.875</v>
      </c>
      <c r="J46" s="83">
        <v>5758.5</v>
      </c>
      <c r="K46" s="83">
        <v>5754.375</v>
      </c>
      <c r="L46" s="83">
        <v>5799.8099999999995</v>
      </c>
      <c r="M46" s="83">
        <v>5835.9400000000005</v>
      </c>
      <c r="N46" s="83">
        <v>5807.93</v>
      </c>
      <c r="O46" s="83">
        <v>5699.76</v>
      </c>
      <c r="P46" s="83">
        <v>5745.2550000000001</v>
      </c>
      <c r="Q46" s="83">
        <v>5674.9349999999995</v>
      </c>
      <c r="R46" s="116">
        <f t="shared" si="10"/>
        <v>69278.44</v>
      </c>
      <c r="S46" s="83">
        <f t="shared" si="3"/>
        <v>180.12511457378554</v>
      </c>
      <c r="T46" s="83">
        <f t="shared" si="3"/>
        <v>177.21066300030554</v>
      </c>
      <c r="U46" s="83">
        <f t="shared" si="18"/>
        <v>174.80181818181819</v>
      </c>
      <c r="V46" s="83">
        <f t="shared" si="18"/>
        <v>173.875</v>
      </c>
      <c r="W46" s="83">
        <f t="shared" si="18"/>
        <v>174.5</v>
      </c>
      <c r="X46" s="83">
        <f t="shared" si="18"/>
        <v>174.375</v>
      </c>
      <c r="Y46" s="83">
        <f t="shared" si="18"/>
        <v>175.75181818181818</v>
      </c>
      <c r="Z46" s="83">
        <f t="shared" si="18"/>
        <v>176.84666666666669</v>
      </c>
      <c r="AA46" s="83">
        <f t="shared" si="18"/>
        <v>175.99787878787879</v>
      </c>
      <c r="AB46" s="83">
        <f t="shared" si="18"/>
        <v>172.72</v>
      </c>
      <c r="AC46" s="83">
        <f t="shared" si="18"/>
        <v>174.09863636363636</v>
      </c>
      <c r="AD46" s="83">
        <f t="shared" si="18"/>
        <v>171.96772727272725</v>
      </c>
      <c r="AE46" s="83">
        <f t="shared" si="11"/>
        <v>175.18919358571975</v>
      </c>
      <c r="AF46" s="83"/>
      <c r="AH46" s="83"/>
      <c r="AI46" s="83"/>
      <c r="BB46" s="101">
        <f t="shared" si="12"/>
        <v>69374.920659945026</v>
      </c>
      <c r="BD46" s="112">
        <f t="shared" si="14"/>
        <v>33.15</v>
      </c>
      <c r="BE46" s="136">
        <f t="shared" si="15"/>
        <v>69690.261208399315</v>
      </c>
      <c r="BF46" s="137">
        <f t="shared" si="16"/>
        <v>315.34054845428909</v>
      </c>
      <c r="BG46" s="113">
        <f t="shared" si="17"/>
        <v>4.5454545454544524E-3</v>
      </c>
    </row>
    <row r="47" spans="1:59" s="62" customFormat="1" outlineLevel="1" x14ac:dyDescent="0.25">
      <c r="A47" s="62" t="str">
        <f t="shared" si="9"/>
        <v>MURREYSRESIDENTIAL65RW1R</v>
      </c>
      <c r="B47" s="81" t="s">
        <v>622</v>
      </c>
      <c r="C47" s="81" t="s">
        <v>623</v>
      </c>
      <c r="D47" s="82">
        <v>30.73</v>
      </c>
      <c r="E47" s="82">
        <v>31</v>
      </c>
      <c r="F47" s="83">
        <v>577584.67000000016</v>
      </c>
      <c r="G47" s="83">
        <v>583776.22499999998</v>
      </c>
      <c r="H47" s="83">
        <v>594777.50000000012</v>
      </c>
      <c r="I47" s="83">
        <v>602368.08000000007</v>
      </c>
      <c r="J47" s="83">
        <v>606618.17499999993</v>
      </c>
      <c r="K47" s="83">
        <v>618497.16999999993</v>
      </c>
      <c r="L47" s="83">
        <v>624890.62999999989</v>
      </c>
      <c r="M47" s="83">
        <v>632637.36500000011</v>
      </c>
      <c r="N47" s="83">
        <v>636666.18000000005</v>
      </c>
      <c r="O47" s="83">
        <v>643784.19999999995</v>
      </c>
      <c r="P47" s="83">
        <v>646964.78</v>
      </c>
      <c r="Q47" s="83">
        <v>654499.005</v>
      </c>
      <c r="R47" s="116">
        <f t="shared" si="10"/>
        <v>7423063.9799999995</v>
      </c>
      <c r="S47" s="83">
        <f t="shared" si="3"/>
        <v>18795.465994142538</v>
      </c>
      <c r="T47" s="83">
        <f t="shared" si="3"/>
        <v>18996.948421737714</v>
      </c>
      <c r="U47" s="83">
        <f t="shared" si="18"/>
        <v>19186.370967741939</v>
      </c>
      <c r="V47" s="83">
        <f t="shared" si="18"/>
        <v>19431.228387096777</v>
      </c>
      <c r="W47" s="83">
        <f t="shared" si="18"/>
        <v>19568.32822580645</v>
      </c>
      <c r="X47" s="83">
        <f t="shared" si="18"/>
        <v>19951.521612903223</v>
      </c>
      <c r="Y47" s="83">
        <f t="shared" si="18"/>
        <v>20157.762258064511</v>
      </c>
      <c r="Z47" s="83">
        <f t="shared" si="18"/>
        <v>20407.656935483876</v>
      </c>
      <c r="AA47" s="83">
        <f t="shared" si="18"/>
        <v>20537.618709677419</v>
      </c>
      <c r="AB47" s="83">
        <f t="shared" si="18"/>
        <v>20767.232258064516</v>
      </c>
      <c r="AC47" s="83">
        <f t="shared" si="18"/>
        <v>20869.831612903228</v>
      </c>
      <c r="AD47" s="83">
        <f t="shared" si="18"/>
        <v>21112.871129032257</v>
      </c>
      <c r="AE47" s="83">
        <f t="shared" si="11"/>
        <v>19981.903042721206</v>
      </c>
      <c r="AF47" s="83"/>
      <c r="AH47" s="83"/>
      <c r="AI47" s="83"/>
      <c r="BB47" s="101">
        <f t="shared" si="12"/>
        <v>7433267.9318922888</v>
      </c>
      <c r="BD47" s="112">
        <f t="shared" si="14"/>
        <v>31.15</v>
      </c>
      <c r="BE47" s="136">
        <f t="shared" si="15"/>
        <v>7469235.3573691864</v>
      </c>
      <c r="BF47" s="137">
        <f t="shared" si="16"/>
        <v>35967.425476897508</v>
      </c>
      <c r="BG47" s="113">
        <f t="shared" si="17"/>
        <v>4.8387096774192657E-3</v>
      </c>
    </row>
    <row r="48" spans="1:59" s="62" customFormat="1" outlineLevel="1" x14ac:dyDescent="0.25">
      <c r="A48" s="62" t="str">
        <f t="shared" si="9"/>
        <v>MURREYSRESIDENTIAL65ROCPU</v>
      </c>
      <c r="B48" s="81" t="s">
        <v>624</v>
      </c>
      <c r="C48" s="81" t="s">
        <v>625</v>
      </c>
      <c r="D48" s="82">
        <v>20.8</v>
      </c>
      <c r="E48" s="82">
        <v>20.81</v>
      </c>
      <c r="F48" s="83">
        <v>0</v>
      </c>
      <c r="G48" s="83">
        <v>0</v>
      </c>
      <c r="H48" s="83">
        <v>20.81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20.87</v>
      </c>
      <c r="R48" s="116">
        <f t="shared" si="10"/>
        <v>41.68</v>
      </c>
      <c r="S48" s="83">
        <f t="shared" si="3"/>
        <v>0</v>
      </c>
      <c r="T48" s="83">
        <f t="shared" si="3"/>
        <v>0</v>
      </c>
      <c r="U48" s="83">
        <f t="shared" si="18"/>
        <v>1</v>
      </c>
      <c r="V48" s="83">
        <f t="shared" si="18"/>
        <v>0</v>
      </c>
      <c r="W48" s="83">
        <f t="shared" si="18"/>
        <v>0</v>
      </c>
      <c r="X48" s="83">
        <f t="shared" si="18"/>
        <v>0</v>
      </c>
      <c r="Y48" s="83">
        <f t="shared" si="18"/>
        <v>0</v>
      </c>
      <c r="Z48" s="83">
        <f t="shared" si="18"/>
        <v>0</v>
      </c>
      <c r="AA48" s="83">
        <f t="shared" si="18"/>
        <v>0</v>
      </c>
      <c r="AB48" s="83">
        <f t="shared" si="18"/>
        <v>0</v>
      </c>
      <c r="AC48" s="83">
        <f t="shared" si="18"/>
        <v>0</v>
      </c>
      <c r="AD48" s="83">
        <f t="shared" si="18"/>
        <v>1.0028832292167229</v>
      </c>
      <c r="AE48" s="83">
        <f t="shared" si="11"/>
        <v>0.16690693576806023</v>
      </c>
      <c r="AF48" s="83"/>
      <c r="AH48" s="83"/>
      <c r="AI48" s="83"/>
      <c r="BB48" s="101">
        <f t="shared" si="12"/>
        <v>41.68</v>
      </c>
      <c r="BD48" s="112">
        <f t="shared" si="14"/>
        <v>20.91</v>
      </c>
      <c r="BE48" s="136">
        <f t="shared" si="15"/>
        <v>41.880288322921672</v>
      </c>
      <c r="BF48" s="137">
        <f t="shared" si="16"/>
        <v>0.20028832292167209</v>
      </c>
      <c r="BG48" s="113">
        <f t="shared" si="17"/>
        <v>4.8053820278712118E-3</v>
      </c>
    </row>
    <row r="49" spans="1:59" s="62" customFormat="1" outlineLevel="1" x14ac:dyDescent="0.25">
      <c r="A49" s="62" t="str">
        <f t="shared" si="9"/>
        <v>MURREYSRESIDENTIAL95RM1</v>
      </c>
      <c r="B49" s="81" t="s">
        <v>626</v>
      </c>
      <c r="C49" s="81" t="s">
        <v>627</v>
      </c>
      <c r="D49" s="82">
        <v>26.13</v>
      </c>
      <c r="E49" s="82">
        <v>26.22</v>
      </c>
      <c r="F49" s="83">
        <v>365.82</v>
      </c>
      <c r="G49" s="83">
        <v>222.375</v>
      </c>
      <c r="H49" s="83">
        <v>301.21500000000003</v>
      </c>
      <c r="I49" s="83">
        <v>367.08</v>
      </c>
      <c r="J49" s="83">
        <v>301.52999999999997</v>
      </c>
      <c r="K49" s="83">
        <v>327.75</v>
      </c>
      <c r="L49" s="83">
        <v>314.81499999999994</v>
      </c>
      <c r="M49" s="83">
        <v>380.85500000000002</v>
      </c>
      <c r="N49" s="83">
        <v>512.54999999999995</v>
      </c>
      <c r="O49" s="83">
        <v>460.07499999999999</v>
      </c>
      <c r="P49" s="83">
        <v>473.22</v>
      </c>
      <c r="Q49" s="83">
        <v>525.79999999999995</v>
      </c>
      <c r="R49" s="116">
        <f t="shared" si="10"/>
        <v>4553.085</v>
      </c>
      <c r="S49" s="83">
        <f t="shared" si="3"/>
        <v>14</v>
      </c>
      <c r="T49" s="83">
        <f t="shared" si="3"/>
        <v>8.510332950631458</v>
      </c>
      <c r="U49" s="83">
        <f t="shared" si="18"/>
        <v>11.487986270022885</v>
      </c>
      <c r="V49" s="83">
        <f t="shared" si="18"/>
        <v>14</v>
      </c>
      <c r="W49" s="83">
        <f t="shared" si="18"/>
        <v>11.5</v>
      </c>
      <c r="X49" s="83">
        <f t="shared" si="18"/>
        <v>12.5</v>
      </c>
      <c r="Y49" s="83">
        <f t="shared" si="18"/>
        <v>12.006674294431729</v>
      </c>
      <c r="Z49" s="83">
        <f t="shared" si="18"/>
        <v>14.525362318840582</v>
      </c>
      <c r="AA49" s="83">
        <f t="shared" si="18"/>
        <v>19.548054919908466</v>
      </c>
      <c r="AB49" s="83">
        <f t="shared" si="18"/>
        <v>17.546720061022121</v>
      </c>
      <c r="AC49" s="83">
        <f t="shared" si="18"/>
        <v>18.04805491990847</v>
      </c>
      <c r="AD49" s="83">
        <f t="shared" si="18"/>
        <v>20.05339435545385</v>
      </c>
      <c r="AE49" s="83">
        <f t="shared" si="11"/>
        <v>14.477215007518298</v>
      </c>
      <c r="AF49" s="83"/>
      <c r="AH49" s="83"/>
      <c r="AI49" s="83"/>
      <c r="BB49" s="101">
        <f t="shared" si="12"/>
        <v>4555.1109299655573</v>
      </c>
      <c r="BD49" s="112">
        <f t="shared" si="14"/>
        <v>26.34</v>
      </c>
      <c r="BE49" s="136">
        <f t="shared" si="15"/>
        <v>4575.958119576384</v>
      </c>
      <c r="BF49" s="137">
        <f t="shared" si="16"/>
        <v>20.847189610826717</v>
      </c>
      <c r="BG49" s="113">
        <f t="shared" si="17"/>
        <v>4.5766590389016825E-3</v>
      </c>
    </row>
    <row r="50" spans="1:59" s="62" customFormat="1" outlineLevel="1" x14ac:dyDescent="0.25">
      <c r="A50" s="62" t="str">
        <f t="shared" si="9"/>
        <v>MURREYSRESIDENTIAL95RW1N</v>
      </c>
      <c r="B50" s="81" t="s">
        <v>628</v>
      </c>
      <c r="C50" s="81" t="s">
        <v>629</v>
      </c>
      <c r="D50" s="82">
        <v>45.83</v>
      </c>
      <c r="E50" s="82">
        <v>46.21</v>
      </c>
      <c r="F50" s="83">
        <v>1271.79</v>
      </c>
      <c r="G50" s="83">
        <v>1194.615</v>
      </c>
      <c r="H50" s="83">
        <v>1175.3150000000001</v>
      </c>
      <c r="I50" s="83">
        <v>1103.2649999999999</v>
      </c>
      <c r="J50" s="83">
        <v>1322.7599999999998</v>
      </c>
      <c r="K50" s="83">
        <v>1316.99</v>
      </c>
      <c r="L50" s="83">
        <v>1404.4749999999999</v>
      </c>
      <c r="M50" s="83">
        <v>1244.585</v>
      </c>
      <c r="N50" s="83">
        <v>1274.355</v>
      </c>
      <c r="O50" s="83">
        <v>1355.45</v>
      </c>
      <c r="P50" s="83">
        <v>1506.0549999999998</v>
      </c>
      <c r="Q50" s="83">
        <v>1517.63</v>
      </c>
      <c r="R50" s="116">
        <f t="shared" si="10"/>
        <v>15687.285</v>
      </c>
      <c r="S50" s="83">
        <f t="shared" si="3"/>
        <v>27.750163648265328</v>
      </c>
      <c r="T50" s="83">
        <f t="shared" si="3"/>
        <v>26.066222998036221</v>
      </c>
      <c r="U50" s="83">
        <f t="shared" si="18"/>
        <v>25.434213373728632</v>
      </c>
      <c r="V50" s="83">
        <f t="shared" si="18"/>
        <v>23.875027050421984</v>
      </c>
      <c r="W50" s="83">
        <f t="shared" si="18"/>
        <v>28.624972949578009</v>
      </c>
      <c r="X50" s="83">
        <f t="shared" si="18"/>
        <v>28.500108201687947</v>
      </c>
      <c r="Y50" s="83">
        <f t="shared" si="18"/>
        <v>30.393313135684913</v>
      </c>
      <c r="Z50" s="83">
        <f t="shared" si="18"/>
        <v>26.933239558537114</v>
      </c>
      <c r="AA50" s="83">
        <f t="shared" si="18"/>
        <v>27.577472408569573</v>
      </c>
      <c r="AB50" s="83">
        <f t="shared" si="18"/>
        <v>29.332395585371131</v>
      </c>
      <c r="AC50" s="83">
        <f t="shared" si="18"/>
        <v>32.591538628002596</v>
      </c>
      <c r="AD50" s="83">
        <f t="shared" si="18"/>
        <v>32.84202553559836</v>
      </c>
      <c r="AE50" s="83">
        <f t="shared" si="11"/>
        <v>28.326724422790146</v>
      </c>
      <c r="AF50" s="83"/>
      <c r="AH50" s="83"/>
      <c r="AI50" s="83"/>
      <c r="BB50" s="101">
        <f t="shared" si="12"/>
        <v>15707.735226925593</v>
      </c>
      <c r="BD50" s="112">
        <f t="shared" si="14"/>
        <v>46.43</v>
      </c>
      <c r="BE50" s="136">
        <f t="shared" si="15"/>
        <v>15782.517779401758</v>
      </c>
      <c r="BF50" s="137">
        <f t="shared" si="16"/>
        <v>74.78255247616471</v>
      </c>
      <c r="BG50" s="113">
        <f t="shared" si="17"/>
        <v>4.7608742696385251E-3</v>
      </c>
    </row>
    <row r="51" spans="1:59" s="62" customFormat="1" outlineLevel="1" x14ac:dyDescent="0.25">
      <c r="A51" s="62" t="str">
        <f t="shared" si="9"/>
        <v>MURREYSRESIDENTIAL95RW1R</v>
      </c>
      <c r="B51" s="81" t="s">
        <v>630</v>
      </c>
      <c r="C51" s="81" t="s">
        <v>631</v>
      </c>
      <c r="D51" s="82">
        <v>42.83</v>
      </c>
      <c r="E51" s="82">
        <v>43.21</v>
      </c>
      <c r="F51" s="83">
        <v>153239.03</v>
      </c>
      <c r="G51" s="83">
        <v>155435.505</v>
      </c>
      <c r="H51" s="83">
        <v>160813.34999999998</v>
      </c>
      <c r="I51" s="83">
        <v>165619.5</v>
      </c>
      <c r="J51" s="83">
        <v>169619.61000000004</v>
      </c>
      <c r="K51" s="83">
        <v>176979.815</v>
      </c>
      <c r="L51" s="83">
        <v>181522.13999999998</v>
      </c>
      <c r="M51" s="83">
        <v>184994.58500000002</v>
      </c>
      <c r="N51" s="83">
        <v>192714.73</v>
      </c>
      <c r="O51" s="83">
        <v>199009.11499999999</v>
      </c>
      <c r="P51" s="83">
        <v>203394.15999999997</v>
      </c>
      <c r="Q51" s="83">
        <v>210041.67500000002</v>
      </c>
      <c r="R51" s="116">
        <f t="shared" si="10"/>
        <v>2153383.2149999999</v>
      </c>
      <c r="S51" s="83">
        <f t="shared" si="3"/>
        <v>3577.8433341116042</v>
      </c>
      <c r="T51" s="83">
        <f t="shared" si="3"/>
        <v>3629.1268970347887</v>
      </c>
      <c r="U51" s="83">
        <f t="shared" si="18"/>
        <v>3721.6697523721355</v>
      </c>
      <c r="V51" s="83">
        <f t="shared" si="18"/>
        <v>3832.8974774357785</v>
      </c>
      <c r="W51" s="83">
        <f t="shared" si="18"/>
        <v>3925.4711872251805</v>
      </c>
      <c r="X51" s="83">
        <f t="shared" si="18"/>
        <v>4095.8068734089329</v>
      </c>
      <c r="Y51" s="83">
        <f t="shared" si="18"/>
        <v>4200.9289516315666</v>
      </c>
      <c r="Z51" s="83">
        <f t="shared" ref="Z51:AD77" si="19">+IFERROR(M51/$E51,0)</f>
        <v>4281.2910205970848</v>
      </c>
      <c r="AA51" s="83">
        <f t="shared" si="19"/>
        <v>4459.9567229807917</v>
      </c>
      <c r="AB51" s="83">
        <f t="shared" si="19"/>
        <v>4605.6263596389717</v>
      </c>
      <c r="AC51" s="83">
        <f t="shared" si="19"/>
        <v>4707.1085396898861</v>
      </c>
      <c r="AD51" s="83">
        <f t="shared" si="19"/>
        <v>4860.9505901411712</v>
      </c>
      <c r="AE51" s="83">
        <f t="shared" si="11"/>
        <v>4158.2231421889901</v>
      </c>
      <c r="AF51" s="83"/>
      <c r="AH51" s="83"/>
      <c r="AI51" s="83"/>
      <c r="BB51" s="101">
        <f t="shared" si="12"/>
        <v>2156121.8636878352</v>
      </c>
      <c r="BD51" s="112">
        <f t="shared" si="14"/>
        <v>43.41</v>
      </c>
      <c r="BE51" s="136">
        <f t="shared" si="15"/>
        <v>2166101.5992290885</v>
      </c>
      <c r="BF51" s="137">
        <f t="shared" si="16"/>
        <v>9979.7355412533507</v>
      </c>
      <c r="BG51" s="113">
        <f t="shared" si="17"/>
        <v>4.6285582041193122E-3</v>
      </c>
    </row>
    <row r="52" spans="1:59" s="62" customFormat="1" outlineLevel="1" x14ac:dyDescent="0.25">
      <c r="A52" s="62" t="str">
        <f t="shared" si="9"/>
        <v>MURREYSRESIDENTIAL96RW1N</v>
      </c>
      <c r="B52" s="81" t="s">
        <v>632</v>
      </c>
      <c r="C52" s="81" t="s">
        <v>633</v>
      </c>
      <c r="D52" s="82">
        <v>0</v>
      </c>
      <c r="E52" s="82">
        <v>0</v>
      </c>
      <c r="F52" s="83">
        <v>0</v>
      </c>
      <c r="G52" s="83">
        <v>0</v>
      </c>
      <c r="H52" s="83">
        <v>0</v>
      </c>
      <c r="I52" s="83">
        <v>0</v>
      </c>
      <c r="J52" s="83">
        <v>0</v>
      </c>
      <c r="K52" s="83">
        <v>0</v>
      </c>
      <c r="L52" s="83">
        <v>0</v>
      </c>
      <c r="M52" s="83">
        <v>0</v>
      </c>
      <c r="N52" s="83">
        <v>0</v>
      </c>
      <c r="O52" s="83">
        <v>0</v>
      </c>
      <c r="P52" s="83">
        <v>0</v>
      </c>
      <c r="Q52" s="83">
        <v>0</v>
      </c>
      <c r="R52" s="116">
        <f t="shared" si="10"/>
        <v>0</v>
      </c>
      <c r="S52" s="83">
        <f t="shared" si="3"/>
        <v>0</v>
      </c>
      <c r="T52" s="83">
        <f t="shared" si="3"/>
        <v>0</v>
      </c>
      <c r="U52" s="83">
        <f t="shared" ref="U52:Y77" si="20">+IFERROR(H52/$E52,0)</f>
        <v>0</v>
      </c>
      <c r="V52" s="83">
        <f t="shared" si="20"/>
        <v>0</v>
      </c>
      <c r="W52" s="83">
        <f t="shared" si="20"/>
        <v>0</v>
      </c>
      <c r="X52" s="83">
        <f t="shared" si="20"/>
        <v>0</v>
      </c>
      <c r="Y52" s="83">
        <f t="shared" si="20"/>
        <v>0</v>
      </c>
      <c r="Z52" s="83">
        <f t="shared" si="19"/>
        <v>0</v>
      </c>
      <c r="AA52" s="83">
        <f t="shared" si="19"/>
        <v>0</v>
      </c>
      <c r="AB52" s="83">
        <f t="shared" si="19"/>
        <v>0</v>
      </c>
      <c r="AC52" s="83">
        <f t="shared" si="19"/>
        <v>0</v>
      </c>
      <c r="AD52" s="83">
        <f t="shared" si="19"/>
        <v>0</v>
      </c>
      <c r="AE52" s="83">
        <f t="shared" si="11"/>
        <v>0</v>
      </c>
      <c r="AF52" s="83"/>
      <c r="AH52" s="83"/>
      <c r="AI52" s="83"/>
      <c r="BB52" s="101">
        <f t="shared" si="12"/>
        <v>0</v>
      </c>
      <c r="BD52" s="112">
        <f t="shared" si="14"/>
        <v>0</v>
      </c>
      <c r="BE52" s="136">
        <f t="shared" si="15"/>
        <v>0</v>
      </c>
      <c r="BF52" s="137">
        <f t="shared" si="16"/>
        <v>0</v>
      </c>
      <c r="BG52" s="113">
        <f t="shared" si="17"/>
        <v>0</v>
      </c>
    </row>
    <row r="53" spans="1:59" s="62" customFormat="1" outlineLevel="1" x14ac:dyDescent="0.25">
      <c r="A53" s="62" t="str">
        <f t="shared" si="9"/>
        <v>MURREYSRESIDENTIAL96RW1R</v>
      </c>
      <c r="B53" s="81" t="s">
        <v>634</v>
      </c>
      <c r="C53" s="81" t="s">
        <v>635</v>
      </c>
      <c r="D53" s="82">
        <v>0</v>
      </c>
      <c r="E53" s="82">
        <v>0</v>
      </c>
      <c r="F53" s="83">
        <v>0</v>
      </c>
      <c r="G53" s="83">
        <v>0</v>
      </c>
      <c r="H53" s="83">
        <v>0</v>
      </c>
      <c r="I53" s="83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83">
        <v>0</v>
      </c>
      <c r="R53" s="116">
        <f t="shared" si="10"/>
        <v>0</v>
      </c>
      <c r="S53" s="83">
        <f t="shared" si="3"/>
        <v>0</v>
      </c>
      <c r="T53" s="83">
        <f t="shared" si="3"/>
        <v>0</v>
      </c>
      <c r="U53" s="83">
        <f t="shared" si="20"/>
        <v>0</v>
      </c>
      <c r="V53" s="83">
        <f t="shared" si="20"/>
        <v>0</v>
      </c>
      <c r="W53" s="83">
        <f t="shared" si="20"/>
        <v>0</v>
      </c>
      <c r="X53" s="83">
        <f t="shared" si="20"/>
        <v>0</v>
      </c>
      <c r="Y53" s="83">
        <f t="shared" si="20"/>
        <v>0</v>
      </c>
      <c r="Z53" s="83">
        <f t="shared" si="19"/>
        <v>0</v>
      </c>
      <c r="AA53" s="83">
        <f t="shared" si="19"/>
        <v>0</v>
      </c>
      <c r="AB53" s="83">
        <f t="shared" si="19"/>
        <v>0</v>
      </c>
      <c r="AC53" s="83">
        <f t="shared" si="19"/>
        <v>0</v>
      </c>
      <c r="AD53" s="83">
        <f t="shared" si="19"/>
        <v>0</v>
      </c>
      <c r="AE53" s="83">
        <f t="shared" si="11"/>
        <v>0</v>
      </c>
      <c r="AF53" s="83"/>
      <c r="AH53" s="83"/>
      <c r="AI53" s="83"/>
      <c r="BB53" s="101">
        <f t="shared" si="12"/>
        <v>0</v>
      </c>
      <c r="BD53" s="112">
        <f t="shared" si="14"/>
        <v>0</v>
      </c>
      <c r="BE53" s="136">
        <f t="shared" si="15"/>
        <v>0</v>
      </c>
      <c r="BF53" s="137">
        <f t="shared" si="16"/>
        <v>0</v>
      </c>
      <c r="BG53" s="113">
        <f t="shared" si="17"/>
        <v>0</v>
      </c>
    </row>
    <row r="54" spans="1:59" s="62" customFormat="1" outlineLevel="1" x14ac:dyDescent="0.25">
      <c r="A54" s="62" t="str">
        <f t="shared" si="9"/>
        <v>MURREYSRESIDENTIALADJRES</v>
      </c>
      <c r="B54" s="81" t="s">
        <v>636</v>
      </c>
      <c r="C54" s="81" t="s">
        <v>637</v>
      </c>
      <c r="D54" s="82">
        <v>0</v>
      </c>
      <c r="E54" s="82">
        <v>0</v>
      </c>
      <c r="F54" s="83">
        <v>0.01</v>
      </c>
      <c r="G54" s="83">
        <v>-0.05</v>
      </c>
      <c r="H54" s="83">
        <v>-2.42</v>
      </c>
      <c r="I54" s="83">
        <v>2</v>
      </c>
      <c r="J54" s="83">
        <v>-4.82</v>
      </c>
      <c r="K54" s="83">
        <v>0</v>
      </c>
      <c r="L54" s="83">
        <v>-0.63</v>
      </c>
      <c r="M54" s="83">
        <v>-0.78</v>
      </c>
      <c r="N54" s="83">
        <v>-0.99</v>
      </c>
      <c r="O54" s="83">
        <v>-1.26</v>
      </c>
      <c r="P54" s="83">
        <v>0</v>
      </c>
      <c r="Q54" s="83">
        <v>0</v>
      </c>
      <c r="R54" s="116">
        <f t="shared" si="10"/>
        <v>-8.9400000000000013</v>
      </c>
      <c r="S54" s="83">
        <f t="shared" si="3"/>
        <v>0</v>
      </c>
      <c r="T54" s="83">
        <f t="shared" si="3"/>
        <v>0</v>
      </c>
      <c r="U54" s="83">
        <f t="shared" si="20"/>
        <v>0</v>
      </c>
      <c r="V54" s="83">
        <f t="shared" si="20"/>
        <v>0</v>
      </c>
      <c r="W54" s="83">
        <f t="shared" si="20"/>
        <v>0</v>
      </c>
      <c r="X54" s="83">
        <f t="shared" si="20"/>
        <v>0</v>
      </c>
      <c r="Y54" s="83">
        <f t="shared" si="20"/>
        <v>0</v>
      </c>
      <c r="Z54" s="83">
        <f t="shared" si="19"/>
        <v>0</v>
      </c>
      <c r="AA54" s="83">
        <f t="shared" si="19"/>
        <v>0</v>
      </c>
      <c r="AB54" s="83">
        <f t="shared" si="19"/>
        <v>0</v>
      </c>
      <c r="AC54" s="83">
        <f t="shared" si="19"/>
        <v>0</v>
      </c>
      <c r="AD54" s="83">
        <f t="shared" si="19"/>
        <v>0</v>
      </c>
      <c r="AE54" s="83">
        <f t="shared" si="11"/>
        <v>0</v>
      </c>
      <c r="AF54" s="83"/>
      <c r="AH54" s="83"/>
      <c r="AI54" s="83"/>
      <c r="BB54" s="101">
        <f t="shared" si="12"/>
        <v>0</v>
      </c>
      <c r="BD54" s="112">
        <f t="shared" si="14"/>
        <v>0</v>
      </c>
      <c r="BE54" s="136">
        <f t="shared" si="15"/>
        <v>0</v>
      </c>
      <c r="BF54" s="137">
        <f t="shared" si="16"/>
        <v>0</v>
      </c>
      <c r="BG54" s="113">
        <f t="shared" si="17"/>
        <v>0</v>
      </c>
    </row>
    <row r="55" spans="1:59" s="62" customFormat="1" outlineLevel="1" x14ac:dyDescent="0.25">
      <c r="A55" s="62" t="str">
        <f>+$A$4&amp;"ONCALL"&amp;B55</f>
        <v>MURREYSONCALLCARRY-RES</v>
      </c>
      <c r="B55" s="81" t="s">
        <v>638</v>
      </c>
      <c r="C55" s="81" t="s">
        <v>639</v>
      </c>
      <c r="D55" s="82">
        <v>0</v>
      </c>
      <c r="E55" s="82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v>0</v>
      </c>
      <c r="O55" s="83">
        <v>0</v>
      </c>
      <c r="P55" s="83">
        <v>0</v>
      </c>
      <c r="Q55" s="83">
        <v>0</v>
      </c>
      <c r="R55" s="116">
        <f t="shared" si="10"/>
        <v>0</v>
      </c>
      <c r="S55" s="83">
        <f t="shared" si="3"/>
        <v>0</v>
      </c>
      <c r="T55" s="83">
        <f t="shared" si="3"/>
        <v>0</v>
      </c>
      <c r="U55" s="83">
        <f t="shared" si="20"/>
        <v>0</v>
      </c>
      <c r="V55" s="83">
        <f t="shared" si="20"/>
        <v>0</v>
      </c>
      <c r="W55" s="83">
        <f t="shared" si="20"/>
        <v>0</v>
      </c>
      <c r="X55" s="83">
        <f t="shared" si="20"/>
        <v>0</v>
      </c>
      <c r="Y55" s="83">
        <f t="shared" si="20"/>
        <v>0</v>
      </c>
      <c r="Z55" s="83">
        <f t="shared" si="19"/>
        <v>0</v>
      </c>
      <c r="AA55" s="83">
        <f t="shared" si="19"/>
        <v>0</v>
      </c>
      <c r="AB55" s="83">
        <f t="shared" si="19"/>
        <v>0</v>
      </c>
      <c r="AC55" s="83">
        <f t="shared" si="19"/>
        <v>0</v>
      </c>
      <c r="AD55" s="83">
        <f t="shared" si="19"/>
        <v>0</v>
      </c>
      <c r="AE55" s="83">
        <f t="shared" si="11"/>
        <v>0</v>
      </c>
      <c r="AF55" s="83"/>
      <c r="AH55" s="83"/>
      <c r="AI55" s="83"/>
      <c r="BB55" s="101">
        <f t="shared" si="12"/>
        <v>0</v>
      </c>
      <c r="BD55" s="112">
        <f t="shared" si="14"/>
        <v>0</v>
      </c>
      <c r="BE55" s="136">
        <f t="shared" si="15"/>
        <v>0</v>
      </c>
      <c r="BF55" s="137">
        <f t="shared" si="16"/>
        <v>0</v>
      </c>
      <c r="BG55" s="113">
        <f t="shared" si="17"/>
        <v>0</v>
      </c>
    </row>
    <row r="56" spans="1:59" s="62" customFormat="1" outlineLevel="1" x14ac:dyDescent="0.25">
      <c r="A56" s="62" t="str">
        <f t="shared" si="9"/>
        <v>MURREYSRESIDENTIALDELTOT</v>
      </c>
      <c r="B56" s="81" t="s">
        <v>640</v>
      </c>
      <c r="C56" s="81" t="s">
        <v>641</v>
      </c>
      <c r="D56" s="82">
        <v>0</v>
      </c>
      <c r="E56" s="82">
        <v>0</v>
      </c>
      <c r="F56" s="83">
        <v>0</v>
      </c>
      <c r="G56" s="83">
        <v>0</v>
      </c>
      <c r="H56" s="83">
        <v>0</v>
      </c>
      <c r="I56" s="83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83">
        <v>0</v>
      </c>
      <c r="R56" s="116">
        <f t="shared" si="10"/>
        <v>0</v>
      </c>
      <c r="S56" s="83">
        <f t="shared" si="3"/>
        <v>0</v>
      </c>
      <c r="T56" s="83">
        <f t="shared" si="3"/>
        <v>0</v>
      </c>
      <c r="U56" s="83">
        <f t="shared" si="20"/>
        <v>0</v>
      </c>
      <c r="V56" s="83">
        <f t="shared" si="20"/>
        <v>0</v>
      </c>
      <c r="W56" s="83">
        <f t="shared" si="20"/>
        <v>0</v>
      </c>
      <c r="X56" s="83">
        <f t="shared" si="20"/>
        <v>0</v>
      </c>
      <c r="Y56" s="83">
        <f t="shared" si="20"/>
        <v>0</v>
      </c>
      <c r="Z56" s="83">
        <f t="shared" si="19"/>
        <v>0</v>
      </c>
      <c r="AA56" s="83">
        <f t="shared" si="19"/>
        <v>0</v>
      </c>
      <c r="AB56" s="83">
        <f t="shared" si="19"/>
        <v>0</v>
      </c>
      <c r="AC56" s="83">
        <f t="shared" si="19"/>
        <v>0</v>
      </c>
      <c r="AD56" s="83">
        <f t="shared" si="19"/>
        <v>0</v>
      </c>
      <c r="AE56" s="83">
        <f t="shared" si="11"/>
        <v>0</v>
      </c>
      <c r="AF56" s="83"/>
      <c r="AH56" s="83"/>
      <c r="AI56" s="83"/>
      <c r="BB56" s="101">
        <f t="shared" si="12"/>
        <v>0</v>
      </c>
      <c r="BD56" s="112">
        <f t="shared" si="14"/>
        <v>0</v>
      </c>
      <c r="BE56" s="136">
        <f t="shared" si="15"/>
        <v>0</v>
      </c>
      <c r="BF56" s="137">
        <f t="shared" si="16"/>
        <v>0</v>
      </c>
      <c r="BG56" s="113">
        <f t="shared" si="17"/>
        <v>0</v>
      </c>
    </row>
    <row r="57" spans="1:59" s="62" customFormat="1" outlineLevel="1" x14ac:dyDescent="0.25">
      <c r="A57" s="62" t="str">
        <f>+$A$4&amp;"ONCALL"&amp;B57</f>
        <v>MURREYSONCALLDRIVEPRVT-RES</v>
      </c>
      <c r="B57" s="81" t="s">
        <v>642</v>
      </c>
      <c r="C57" s="81" t="s">
        <v>643</v>
      </c>
      <c r="D57" s="82">
        <v>5.03</v>
      </c>
      <c r="E57" s="82">
        <v>0</v>
      </c>
      <c r="F57" s="83">
        <v>13.96</v>
      </c>
      <c r="G57" s="83">
        <v>13.96</v>
      </c>
      <c r="H57" s="83">
        <v>13.96</v>
      </c>
      <c r="I57" s="83">
        <v>13.96</v>
      </c>
      <c r="J57" s="83">
        <v>13.96</v>
      </c>
      <c r="K57" s="83">
        <v>13.96</v>
      </c>
      <c r="L57" s="83">
        <v>13.96</v>
      </c>
      <c r="M57" s="83">
        <v>13.96</v>
      </c>
      <c r="N57" s="83">
        <v>13.96</v>
      </c>
      <c r="O57" s="83">
        <v>13.96</v>
      </c>
      <c r="P57" s="83">
        <v>13.96</v>
      </c>
      <c r="Q57" s="83">
        <v>13.96</v>
      </c>
      <c r="R57" s="116">
        <f t="shared" si="10"/>
        <v>167.52000000000007</v>
      </c>
      <c r="S57" s="83">
        <f t="shared" si="3"/>
        <v>2.7753479125248508</v>
      </c>
      <c r="T57" s="83">
        <f t="shared" si="3"/>
        <v>2.7753479125248508</v>
      </c>
      <c r="U57" s="83">
        <f t="shared" si="20"/>
        <v>0</v>
      </c>
      <c r="V57" s="83">
        <f t="shared" si="20"/>
        <v>0</v>
      </c>
      <c r="W57" s="83">
        <f t="shared" si="20"/>
        <v>0</v>
      </c>
      <c r="X57" s="83">
        <f t="shared" si="20"/>
        <v>0</v>
      </c>
      <c r="Y57" s="83">
        <f t="shared" si="20"/>
        <v>0</v>
      </c>
      <c r="Z57" s="83">
        <f t="shared" si="19"/>
        <v>0</v>
      </c>
      <c r="AA57" s="83">
        <f t="shared" si="19"/>
        <v>0</v>
      </c>
      <c r="AB57" s="83">
        <f t="shared" si="19"/>
        <v>0</v>
      </c>
      <c r="AC57" s="83">
        <f t="shared" si="19"/>
        <v>0</v>
      </c>
      <c r="AD57" s="83">
        <f t="shared" si="19"/>
        <v>0</v>
      </c>
      <c r="AE57" s="83">
        <f t="shared" si="11"/>
        <v>0.46255798542080845</v>
      </c>
      <c r="AF57" s="83"/>
      <c r="AH57" s="83"/>
      <c r="AI57" s="83"/>
      <c r="BB57" s="101">
        <f t="shared" si="12"/>
        <v>0</v>
      </c>
      <c r="BD57" s="112">
        <f t="shared" si="14"/>
        <v>0</v>
      </c>
      <c r="BE57" s="136">
        <f t="shared" si="15"/>
        <v>0</v>
      </c>
      <c r="BF57" s="137">
        <f t="shared" si="16"/>
        <v>0</v>
      </c>
      <c r="BG57" s="113">
        <f t="shared" si="17"/>
        <v>0</v>
      </c>
    </row>
    <row r="58" spans="1:59" s="62" customFormat="1" outlineLevel="1" x14ac:dyDescent="0.25">
      <c r="A58" s="62" t="str">
        <f>+$A$4&amp;"ONCALL"&amp;B58</f>
        <v>MURREYSONCALLDRVNRE1</v>
      </c>
      <c r="B58" s="81" t="s">
        <v>644</v>
      </c>
      <c r="C58" s="81" t="s">
        <v>645</v>
      </c>
      <c r="D58" s="82">
        <v>5.03</v>
      </c>
      <c r="E58" s="82">
        <v>0</v>
      </c>
      <c r="F58" s="83">
        <v>1.165</v>
      </c>
      <c r="G58" s="83">
        <v>1.165</v>
      </c>
      <c r="H58" s="83">
        <v>1.165</v>
      </c>
      <c r="I58" s="83">
        <v>1.165</v>
      </c>
      <c r="J58" s="83">
        <v>1.165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116">
        <f t="shared" si="10"/>
        <v>5.8250000000000002</v>
      </c>
      <c r="S58" s="83">
        <f t="shared" si="3"/>
        <v>0.23161033797216699</v>
      </c>
      <c r="T58" s="83">
        <f t="shared" si="3"/>
        <v>0.23161033797216699</v>
      </c>
      <c r="U58" s="83">
        <f t="shared" si="20"/>
        <v>0</v>
      </c>
      <c r="V58" s="83">
        <f t="shared" si="20"/>
        <v>0</v>
      </c>
      <c r="W58" s="83">
        <f t="shared" si="20"/>
        <v>0</v>
      </c>
      <c r="X58" s="83">
        <f t="shared" si="20"/>
        <v>0</v>
      </c>
      <c r="Y58" s="83">
        <f t="shared" si="20"/>
        <v>0</v>
      </c>
      <c r="Z58" s="83">
        <f t="shared" si="19"/>
        <v>0</v>
      </c>
      <c r="AA58" s="83">
        <f t="shared" si="19"/>
        <v>0</v>
      </c>
      <c r="AB58" s="83">
        <f t="shared" si="19"/>
        <v>0</v>
      </c>
      <c r="AC58" s="83">
        <f t="shared" si="19"/>
        <v>0</v>
      </c>
      <c r="AD58" s="83">
        <f t="shared" si="19"/>
        <v>0</v>
      </c>
      <c r="AE58" s="83">
        <f t="shared" si="11"/>
        <v>3.8601722995361167E-2</v>
      </c>
      <c r="AF58" s="83"/>
      <c r="AH58" s="83"/>
      <c r="AI58" s="83"/>
      <c r="BB58" s="101">
        <f t="shared" si="12"/>
        <v>0</v>
      </c>
      <c r="BD58" s="112">
        <f t="shared" si="14"/>
        <v>0</v>
      </c>
      <c r="BE58" s="136">
        <f t="shared" si="15"/>
        <v>0</v>
      </c>
      <c r="BF58" s="137">
        <f t="shared" si="16"/>
        <v>0</v>
      </c>
      <c r="BG58" s="113">
        <f t="shared" si="17"/>
        <v>0</v>
      </c>
    </row>
    <row r="59" spans="1:59" s="62" customFormat="1" outlineLevel="1" x14ac:dyDescent="0.25">
      <c r="A59" s="62" t="str">
        <f t="shared" si="9"/>
        <v>MURREYSRESIDENTIALDRVNRW1</v>
      </c>
      <c r="B59" s="81" t="s">
        <v>646</v>
      </c>
      <c r="C59" s="81" t="s">
        <v>647</v>
      </c>
      <c r="D59" s="82">
        <v>5.03</v>
      </c>
      <c r="E59" s="82">
        <v>5.03</v>
      </c>
      <c r="F59" s="83">
        <v>1098.335</v>
      </c>
      <c r="G59" s="83">
        <v>1075.7</v>
      </c>
      <c r="H59" s="83">
        <v>1081.9849999999999</v>
      </c>
      <c r="I59" s="83">
        <v>1056.2049999999999</v>
      </c>
      <c r="J59" s="83">
        <v>1058.9100000000001</v>
      </c>
      <c r="K59" s="83">
        <v>1041.75</v>
      </c>
      <c r="L59" s="83">
        <v>1020.9199999999998</v>
      </c>
      <c r="M59" s="83">
        <v>1000.3850000000001</v>
      </c>
      <c r="N59" s="83">
        <v>1011.0000000000001</v>
      </c>
      <c r="O59" s="83">
        <v>1016.0400000000001</v>
      </c>
      <c r="P59" s="83">
        <v>1016.0400000000001</v>
      </c>
      <c r="Q59" s="83">
        <v>1027.3799999999999</v>
      </c>
      <c r="R59" s="116">
        <f t="shared" si="10"/>
        <v>12504.65</v>
      </c>
      <c r="S59" s="83">
        <f t="shared" si="3"/>
        <v>218.3568588469185</v>
      </c>
      <c r="T59" s="83">
        <f t="shared" si="3"/>
        <v>213.8568588469185</v>
      </c>
      <c r="U59" s="83">
        <f t="shared" si="20"/>
        <v>215.10636182902581</v>
      </c>
      <c r="V59" s="83">
        <f t="shared" si="20"/>
        <v>209.98111332007949</v>
      </c>
      <c r="W59" s="83">
        <f t="shared" si="20"/>
        <v>210.51888667992048</v>
      </c>
      <c r="X59" s="83">
        <f t="shared" si="20"/>
        <v>207.10735586481113</v>
      </c>
      <c r="Y59" s="83">
        <f t="shared" si="20"/>
        <v>202.96620278330016</v>
      </c>
      <c r="Z59" s="83">
        <f t="shared" si="19"/>
        <v>198.88369781312127</v>
      </c>
      <c r="AA59" s="83">
        <f t="shared" si="19"/>
        <v>200.99403578528828</v>
      </c>
      <c r="AB59" s="83">
        <f t="shared" si="19"/>
        <v>201.99602385685884</v>
      </c>
      <c r="AC59" s="83">
        <f t="shared" si="19"/>
        <v>201.99602385685884</v>
      </c>
      <c r="AD59" s="83">
        <f t="shared" si="19"/>
        <v>204.2504970178926</v>
      </c>
      <c r="AE59" s="83">
        <f t="shared" si="11"/>
        <v>207.1678263750828</v>
      </c>
      <c r="AF59" s="83"/>
      <c r="AH59" s="83"/>
      <c r="AI59" s="83"/>
      <c r="BB59" s="101">
        <f t="shared" si="12"/>
        <v>12504.649999999998</v>
      </c>
      <c r="BD59" s="112">
        <f t="shared" si="14"/>
        <v>5.05</v>
      </c>
      <c r="BE59" s="136">
        <f t="shared" si="15"/>
        <v>12554.370278330018</v>
      </c>
      <c r="BF59" s="137">
        <f t="shared" si="16"/>
        <v>49.720278330019937</v>
      </c>
      <c r="BG59" s="113">
        <f t="shared" si="17"/>
        <v>3.9761431411530863E-3</v>
      </c>
    </row>
    <row r="60" spans="1:59" s="62" customFormat="1" outlineLevel="1" x14ac:dyDescent="0.25">
      <c r="A60" s="62" t="str">
        <f t="shared" ref="A60:A61" si="21">+$A$4&amp;"ONCALL"&amp;B60</f>
        <v>MURREYSONCALLDRVNRW2</v>
      </c>
      <c r="B60" s="81" t="s">
        <v>648</v>
      </c>
      <c r="C60" s="81" t="s">
        <v>649</v>
      </c>
      <c r="D60" s="82">
        <v>0</v>
      </c>
      <c r="E60" s="82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5.03</v>
      </c>
      <c r="O60" s="83">
        <v>5.03</v>
      </c>
      <c r="P60" s="83">
        <v>5.03</v>
      </c>
      <c r="Q60" s="83">
        <v>5.03</v>
      </c>
      <c r="R60" s="116">
        <f t="shared" si="10"/>
        <v>20.12</v>
      </c>
      <c r="S60" s="83">
        <f t="shared" si="3"/>
        <v>0</v>
      </c>
      <c r="T60" s="83">
        <f t="shared" si="3"/>
        <v>0</v>
      </c>
      <c r="U60" s="83">
        <f t="shared" si="20"/>
        <v>0</v>
      </c>
      <c r="V60" s="83">
        <f t="shared" si="20"/>
        <v>0</v>
      </c>
      <c r="W60" s="83">
        <f t="shared" si="20"/>
        <v>0</v>
      </c>
      <c r="X60" s="83">
        <f t="shared" si="20"/>
        <v>0</v>
      </c>
      <c r="Y60" s="83">
        <f t="shared" si="20"/>
        <v>0</v>
      </c>
      <c r="Z60" s="83">
        <f t="shared" si="19"/>
        <v>0</v>
      </c>
      <c r="AA60" s="83">
        <f t="shared" si="19"/>
        <v>0</v>
      </c>
      <c r="AB60" s="83">
        <f t="shared" si="19"/>
        <v>0</v>
      </c>
      <c r="AC60" s="83">
        <f t="shared" si="19"/>
        <v>0</v>
      </c>
      <c r="AD60" s="83">
        <f t="shared" si="19"/>
        <v>0</v>
      </c>
      <c r="AE60" s="83">
        <f t="shared" si="11"/>
        <v>0</v>
      </c>
      <c r="AF60" s="83"/>
      <c r="AH60" s="83"/>
      <c r="AI60" s="83"/>
      <c r="BB60" s="101">
        <f t="shared" si="12"/>
        <v>0</v>
      </c>
      <c r="BD60" s="112">
        <f t="shared" si="14"/>
        <v>0</v>
      </c>
      <c r="BE60" s="136">
        <f t="shared" si="15"/>
        <v>0</v>
      </c>
      <c r="BF60" s="137">
        <f t="shared" si="16"/>
        <v>0</v>
      </c>
      <c r="BG60" s="113">
        <f t="shared" si="17"/>
        <v>0</v>
      </c>
    </row>
    <row r="61" spans="1:59" s="62" customFormat="1" outlineLevel="1" x14ac:dyDescent="0.25">
      <c r="A61" s="62" t="str">
        <f t="shared" si="21"/>
        <v>MURREYSONCALLGWCR</v>
      </c>
      <c r="B61" s="81" t="s">
        <v>650</v>
      </c>
      <c r="C61" s="81" t="s">
        <v>651</v>
      </c>
      <c r="D61" s="82">
        <v>0</v>
      </c>
      <c r="E61" s="82">
        <v>0</v>
      </c>
      <c r="F61" s="83">
        <v>-114.05</v>
      </c>
      <c r="G61" s="83">
        <v>-65</v>
      </c>
      <c r="H61" s="83">
        <v>-15</v>
      </c>
      <c r="I61" s="83">
        <v>-40</v>
      </c>
      <c r="J61" s="83">
        <v>-135</v>
      </c>
      <c r="K61" s="83">
        <v>-118</v>
      </c>
      <c r="L61" s="83">
        <v>-226</v>
      </c>
      <c r="M61" s="83">
        <v>-30</v>
      </c>
      <c r="N61" s="83">
        <v>-65</v>
      </c>
      <c r="O61" s="83">
        <v>-55</v>
      </c>
      <c r="P61" s="83">
        <v>-79</v>
      </c>
      <c r="Q61" s="83">
        <v>-45</v>
      </c>
      <c r="R61" s="116">
        <f t="shared" si="10"/>
        <v>-987.05</v>
      </c>
      <c r="S61" s="83">
        <f t="shared" si="3"/>
        <v>0</v>
      </c>
      <c r="T61" s="83">
        <f t="shared" si="3"/>
        <v>0</v>
      </c>
      <c r="U61" s="83">
        <f t="shared" si="20"/>
        <v>0</v>
      </c>
      <c r="V61" s="83">
        <f t="shared" si="20"/>
        <v>0</v>
      </c>
      <c r="W61" s="83">
        <f t="shared" si="20"/>
        <v>0</v>
      </c>
      <c r="X61" s="83">
        <f t="shared" si="20"/>
        <v>0</v>
      </c>
      <c r="Y61" s="83">
        <f t="shared" si="20"/>
        <v>0</v>
      </c>
      <c r="Z61" s="83">
        <f t="shared" si="19"/>
        <v>0</v>
      </c>
      <c r="AA61" s="83">
        <f t="shared" si="19"/>
        <v>0</v>
      </c>
      <c r="AB61" s="83">
        <f t="shared" si="19"/>
        <v>0</v>
      </c>
      <c r="AC61" s="83">
        <f t="shared" si="19"/>
        <v>0</v>
      </c>
      <c r="AD61" s="83">
        <f t="shared" si="19"/>
        <v>0</v>
      </c>
      <c r="AE61" s="83">
        <f t="shared" si="11"/>
        <v>0</v>
      </c>
      <c r="AF61" s="83"/>
      <c r="AH61" s="83"/>
      <c r="AI61" s="83"/>
      <c r="BB61" s="101">
        <f t="shared" si="12"/>
        <v>0</v>
      </c>
      <c r="BD61" s="112">
        <f t="shared" si="14"/>
        <v>0</v>
      </c>
      <c r="BE61" s="136">
        <f t="shared" si="15"/>
        <v>0</v>
      </c>
      <c r="BF61" s="137">
        <f t="shared" si="16"/>
        <v>0</v>
      </c>
      <c r="BG61" s="113">
        <f t="shared" si="17"/>
        <v>0</v>
      </c>
    </row>
    <row r="62" spans="1:59" s="62" customFormat="1" outlineLevel="1" x14ac:dyDescent="0.25">
      <c r="A62" s="62" t="str">
        <f t="shared" si="9"/>
        <v>MURREYSRESIDENTIALIMPCNR1</v>
      </c>
      <c r="B62" s="81" t="s">
        <v>652</v>
      </c>
      <c r="C62" s="81" t="s">
        <v>653</v>
      </c>
      <c r="D62" s="82">
        <v>0</v>
      </c>
      <c r="E62" s="82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116">
        <f t="shared" si="10"/>
        <v>0</v>
      </c>
      <c r="S62" s="83">
        <f t="shared" si="3"/>
        <v>0</v>
      </c>
      <c r="T62" s="83">
        <f t="shared" si="3"/>
        <v>0</v>
      </c>
      <c r="U62" s="83">
        <f t="shared" si="20"/>
        <v>0</v>
      </c>
      <c r="V62" s="83">
        <f t="shared" si="20"/>
        <v>0</v>
      </c>
      <c r="W62" s="83">
        <f t="shared" si="20"/>
        <v>0</v>
      </c>
      <c r="X62" s="83">
        <f t="shared" si="20"/>
        <v>0</v>
      </c>
      <c r="Y62" s="83">
        <f t="shared" si="20"/>
        <v>0</v>
      </c>
      <c r="Z62" s="83">
        <f t="shared" si="19"/>
        <v>0</v>
      </c>
      <c r="AA62" s="83">
        <f t="shared" si="19"/>
        <v>0</v>
      </c>
      <c r="AB62" s="83">
        <f t="shared" si="19"/>
        <v>0</v>
      </c>
      <c r="AC62" s="83">
        <f t="shared" si="19"/>
        <v>0</v>
      </c>
      <c r="AD62" s="83">
        <f t="shared" si="19"/>
        <v>0</v>
      </c>
      <c r="AE62" s="83">
        <f t="shared" si="11"/>
        <v>0</v>
      </c>
      <c r="AF62" s="83"/>
      <c r="AH62" s="83"/>
      <c r="AI62" s="83"/>
      <c r="BB62" s="101">
        <f t="shared" si="12"/>
        <v>0</v>
      </c>
      <c r="BD62" s="112">
        <f t="shared" si="14"/>
        <v>0</v>
      </c>
      <c r="BE62" s="136">
        <f t="shared" si="15"/>
        <v>0</v>
      </c>
      <c r="BF62" s="137">
        <f t="shared" si="16"/>
        <v>0</v>
      </c>
      <c r="BG62" s="113">
        <f t="shared" si="17"/>
        <v>0</v>
      </c>
    </row>
    <row r="63" spans="1:59" s="62" customFormat="1" outlineLevel="1" x14ac:dyDescent="0.25">
      <c r="A63" s="62" t="str">
        <f t="shared" si="9"/>
        <v>MURREYSRESIDENTIALIMPCNR2</v>
      </c>
      <c r="B63" s="81" t="s">
        <v>654</v>
      </c>
      <c r="C63" s="81" t="s">
        <v>655</v>
      </c>
      <c r="D63" s="82">
        <v>0</v>
      </c>
      <c r="E63" s="82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3">
        <v>0</v>
      </c>
      <c r="P63" s="83">
        <v>0</v>
      </c>
      <c r="Q63" s="83">
        <v>0</v>
      </c>
      <c r="R63" s="116">
        <f t="shared" si="10"/>
        <v>0</v>
      </c>
      <c r="S63" s="83">
        <f t="shared" si="3"/>
        <v>0</v>
      </c>
      <c r="T63" s="83">
        <f t="shared" si="3"/>
        <v>0</v>
      </c>
      <c r="U63" s="83">
        <f t="shared" si="20"/>
        <v>0</v>
      </c>
      <c r="V63" s="83">
        <f t="shared" si="20"/>
        <v>0</v>
      </c>
      <c r="W63" s="83">
        <f t="shared" si="20"/>
        <v>0</v>
      </c>
      <c r="X63" s="83">
        <f t="shared" si="20"/>
        <v>0</v>
      </c>
      <c r="Y63" s="83">
        <f t="shared" si="20"/>
        <v>0</v>
      </c>
      <c r="Z63" s="83">
        <f t="shared" si="19"/>
        <v>0</v>
      </c>
      <c r="AA63" s="83">
        <f t="shared" si="19"/>
        <v>0</v>
      </c>
      <c r="AB63" s="83">
        <f t="shared" si="19"/>
        <v>0</v>
      </c>
      <c r="AC63" s="83">
        <f t="shared" si="19"/>
        <v>0</v>
      </c>
      <c r="AD63" s="83">
        <f t="shared" si="19"/>
        <v>0</v>
      </c>
      <c r="AE63" s="83">
        <f t="shared" si="11"/>
        <v>0</v>
      </c>
      <c r="AF63" s="83"/>
      <c r="AH63" s="83"/>
      <c r="AI63" s="83"/>
      <c r="BB63" s="101">
        <f t="shared" si="12"/>
        <v>0</v>
      </c>
      <c r="BD63" s="112">
        <f t="shared" si="14"/>
        <v>0</v>
      </c>
      <c r="BE63" s="136">
        <f t="shared" si="15"/>
        <v>0</v>
      </c>
      <c r="BF63" s="137">
        <f t="shared" si="16"/>
        <v>0</v>
      </c>
      <c r="BG63" s="113">
        <f t="shared" si="17"/>
        <v>0</v>
      </c>
    </row>
    <row r="64" spans="1:59" s="62" customFormat="1" outlineLevel="1" x14ac:dyDescent="0.25">
      <c r="A64" s="62" t="str">
        <f t="shared" si="9"/>
        <v>MURREYSRESIDENTIALOBSR</v>
      </c>
      <c r="B64" s="81" t="s">
        <v>656</v>
      </c>
      <c r="C64" s="81" t="s">
        <v>657</v>
      </c>
      <c r="D64" s="82">
        <v>0.84</v>
      </c>
      <c r="E64" s="82">
        <v>0.84</v>
      </c>
      <c r="F64" s="83">
        <v>5.04</v>
      </c>
      <c r="G64" s="83">
        <v>5.04</v>
      </c>
      <c r="H64" s="83">
        <v>5.04</v>
      </c>
      <c r="I64" s="83">
        <v>5.04</v>
      </c>
      <c r="J64" s="83">
        <v>5.04</v>
      </c>
      <c r="K64" s="83">
        <v>5.04</v>
      </c>
      <c r="L64" s="83">
        <v>5.04</v>
      </c>
      <c r="M64" s="83">
        <v>5.04</v>
      </c>
      <c r="N64" s="83">
        <v>5.04</v>
      </c>
      <c r="O64" s="83">
        <v>5.04</v>
      </c>
      <c r="P64" s="83">
        <v>5.04</v>
      </c>
      <c r="Q64" s="83">
        <v>5.04</v>
      </c>
      <c r="R64" s="116">
        <f t="shared" si="10"/>
        <v>60.48</v>
      </c>
      <c r="S64" s="83">
        <f t="shared" si="3"/>
        <v>6</v>
      </c>
      <c r="T64" s="83">
        <f t="shared" si="3"/>
        <v>6</v>
      </c>
      <c r="U64" s="83">
        <f t="shared" si="20"/>
        <v>6</v>
      </c>
      <c r="V64" s="83">
        <f t="shared" si="20"/>
        <v>6</v>
      </c>
      <c r="W64" s="83">
        <f t="shared" si="20"/>
        <v>6</v>
      </c>
      <c r="X64" s="83">
        <f t="shared" si="20"/>
        <v>6</v>
      </c>
      <c r="Y64" s="83">
        <f t="shared" si="20"/>
        <v>6</v>
      </c>
      <c r="Z64" s="83">
        <f t="shared" si="19"/>
        <v>6</v>
      </c>
      <c r="AA64" s="83">
        <f t="shared" si="19"/>
        <v>6</v>
      </c>
      <c r="AB64" s="83">
        <f t="shared" si="19"/>
        <v>6</v>
      </c>
      <c r="AC64" s="83">
        <f t="shared" si="19"/>
        <v>6</v>
      </c>
      <c r="AD64" s="83">
        <f t="shared" si="19"/>
        <v>6</v>
      </c>
      <c r="AE64" s="83">
        <f t="shared" si="11"/>
        <v>6</v>
      </c>
      <c r="AF64" s="83"/>
      <c r="AH64" s="83"/>
      <c r="AI64" s="83"/>
      <c r="BB64" s="101">
        <f t="shared" si="12"/>
        <v>60.480000000000004</v>
      </c>
      <c r="BD64" s="112">
        <f t="shared" si="14"/>
        <v>0.84</v>
      </c>
      <c r="BE64" s="136">
        <f t="shared" si="15"/>
        <v>60.480000000000004</v>
      </c>
      <c r="BF64" s="137">
        <f t="shared" si="16"/>
        <v>0</v>
      </c>
      <c r="BG64" s="113">
        <f t="shared" si="17"/>
        <v>0</v>
      </c>
    </row>
    <row r="65" spans="1:59" s="62" customFormat="1" outlineLevel="1" x14ac:dyDescent="0.25">
      <c r="A65" s="62" t="str">
        <f t="shared" si="9"/>
        <v>MURREYSRESIDENTIALOS</v>
      </c>
      <c r="B65" s="81" t="s">
        <v>658</v>
      </c>
      <c r="C65" s="81" t="s">
        <v>659</v>
      </c>
      <c r="D65" s="82">
        <v>0</v>
      </c>
      <c r="E65" s="82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116">
        <f t="shared" si="10"/>
        <v>0</v>
      </c>
      <c r="S65" s="83">
        <f t="shared" si="3"/>
        <v>0</v>
      </c>
      <c r="T65" s="83">
        <f t="shared" si="3"/>
        <v>0</v>
      </c>
      <c r="U65" s="83">
        <f t="shared" si="20"/>
        <v>0</v>
      </c>
      <c r="V65" s="83">
        <f t="shared" si="20"/>
        <v>0</v>
      </c>
      <c r="W65" s="83">
        <f t="shared" si="20"/>
        <v>0</v>
      </c>
      <c r="X65" s="83">
        <f t="shared" si="20"/>
        <v>0</v>
      </c>
      <c r="Y65" s="83">
        <f t="shared" si="20"/>
        <v>0</v>
      </c>
      <c r="Z65" s="83">
        <f t="shared" si="19"/>
        <v>0</v>
      </c>
      <c r="AA65" s="83">
        <f t="shared" si="19"/>
        <v>0</v>
      </c>
      <c r="AB65" s="83">
        <f t="shared" si="19"/>
        <v>0</v>
      </c>
      <c r="AC65" s="83">
        <f t="shared" si="19"/>
        <v>0</v>
      </c>
      <c r="AD65" s="83">
        <f t="shared" si="19"/>
        <v>0</v>
      </c>
      <c r="AE65" s="83">
        <f t="shared" si="11"/>
        <v>0</v>
      </c>
      <c r="AF65" s="83"/>
      <c r="AH65" s="83"/>
      <c r="AI65" s="83"/>
      <c r="BB65" s="101">
        <f t="shared" si="12"/>
        <v>0</v>
      </c>
      <c r="BD65" s="112">
        <f t="shared" si="14"/>
        <v>0</v>
      </c>
      <c r="BE65" s="136">
        <f t="shared" si="15"/>
        <v>0</v>
      </c>
      <c r="BF65" s="137">
        <f t="shared" si="16"/>
        <v>0</v>
      </c>
      <c r="BG65" s="113">
        <f t="shared" si="17"/>
        <v>0</v>
      </c>
    </row>
    <row r="66" spans="1:59" s="62" customFormat="1" outlineLevel="1" x14ac:dyDescent="0.25">
      <c r="A66" s="62" t="str">
        <f t="shared" si="9"/>
        <v>MURREYSRESIDENTIALOSOW</v>
      </c>
      <c r="B66" s="81" t="s">
        <v>660</v>
      </c>
      <c r="C66" s="81" t="s">
        <v>661</v>
      </c>
      <c r="D66" s="82">
        <v>0</v>
      </c>
      <c r="E66" s="82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116">
        <f t="shared" si="10"/>
        <v>0</v>
      </c>
      <c r="S66" s="83">
        <f t="shared" si="3"/>
        <v>0</v>
      </c>
      <c r="T66" s="83">
        <f t="shared" si="3"/>
        <v>0</v>
      </c>
      <c r="U66" s="83">
        <f t="shared" si="20"/>
        <v>0</v>
      </c>
      <c r="V66" s="83">
        <f t="shared" si="20"/>
        <v>0</v>
      </c>
      <c r="W66" s="83">
        <f t="shared" si="20"/>
        <v>0</v>
      </c>
      <c r="X66" s="83">
        <f t="shared" si="20"/>
        <v>0</v>
      </c>
      <c r="Y66" s="83">
        <f t="shared" si="20"/>
        <v>0</v>
      </c>
      <c r="Z66" s="83">
        <f t="shared" si="19"/>
        <v>0</v>
      </c>
      <c r="AA66" s="83">
        <f t="shared" si="19"/>
        <v>0</v>
      </c>
      <c r="AB66" s="83">
        <f t="shared" si="19"/>
        <v>0</v>
      </c>
      <c r="AC66" s="83">
        <f t="shared" si="19"/>
        <v>0</v>
      </c>
      <c r="AD66" s="83">
        <f t="shared" si="19"/>
        <v>0</v>
      </c>
      <c r="AE66" s="83">
        <f t="shared" si="11"/>
        <v>0</v>
      </c>
      <c r="AF66" s="83"/>
      <c r="AH66" s="83"/>
      <c r="AI66" s="83"/>
      <c r="BB66" s="101">
        <f t="shared" si="12"/>
        <v>0</v>
      </c>
      <c r="BD66" s="112">
        <f t="shared" si="14"/>
        <v>0</v>
      </c>
      <c r="BE66" s="136">
        <f t="shared" si="15"/>
        <v>0</v>
      </c>
      <c r="BF66" s="137">
        <f t="shared" si="16"/>
        <v>0</v>
      </c>
      <c r="BG66" s="113">
        <f t="shared" si="17"/>
        <v>0</v>
      </c>
    </row>
    <row r="67" spans="1:59" s="62" customFormat="1" outlineLevel="1" x14ac:dyDescent="0.25">
      <c r="A67" s="62" t="str">
        <f t="shared" si="9"/>
        <v>MURREYSRESIDENTIALOW</v>
      </c>
      <c r="B67" s="81" t="s">
        <v>662</v>
      </c>
      <c r="C67" s="81" t="s">
        <v>663</v>
      </c>
      <c r="D67" s="82">
        <v>0</v>
      </c>
      <c r="E67" s="82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83">
        <v>0</v>
      </c>
      <c r="R67" s="116">
        <f t="shared" si="10"/>
        <v>0</v>
      </c>
      <c r="S67" s="83">
        <f t="shared" si="3"/>
        <v>0</v>
      </c>
      <c r="T67" s="83">
        <f t="shared" si="3"/>
        <v>0</v>
      </c>
      <c r="U67" s="83">
        <f t="shared" si="20"/>
        <v>0</v>
      </c>
      <c r="V67" s="83">
        <f t="shared" si="20"/>
        <v>0</v>
      </c>
      <c r="W67" s="83">
        <f t="shared" si="20"/>
        <v>0</v>
      </c>
      <c r="X67" s="83">
        <f t="shared" si="20"/>
        <v>0</v>
      </c>
      <c r="Y67" s="83">
        <f t="shared" si="20"/>
        <v>0</v>
      </c>
      <c r="Z67" s="83">
        <f t="shared" si="19"/>
        <v>0</v>
      </c>
      <c r="AA67" s="83">
        <f t="shared" si="19"/>
        <v>0</v>
      </c>
      <c r="AB67" s="83">
        <f t="shared" si="19"/>
        <v>0</v>
      </c>
      <c r="AC67" s="83">
        <f t="shared" si="19"/>
        <v>0</v>
      </c>
      <c r="AD67" s="83">
        <f t="shared" si="19"/>
        <v>0</v>
      </c>
      <c r="AE67" s="83">
        <f t="shared" si="11"/>
        <v>0</v>
      </c>
      <c r="AF67" s="83"/>
      <c r="AH67" s="83"/>
      <c r="AI67" s="83"/>
      <c r="BB67" s="101">
        <f t="shared" si="12"/>
        <v>0</v>
      </c>
      <c r="BD67" s="112">
        <f t="shared" si="14"/>
        <v>0</v>
      </c>
      <c r="BE67" s="136">
        <f t="shared" si="15"/>
        <v>0</v>
      </c>
      <c r="BF67" s="137">
        <f t="shared" si="16"/>
        <v>0</v>
      </c>
      <c r="BG67" s="113">
        <f t="shared" si="17"/>
        <v>0</v>
      </c>
    </row>
    <row r="68" spans="1:59" s="62" customFormat="1" outlineLevel="1" x14ac:dyDescent="0.25">
      <c r="A68" s="62" t="str">
        <f t="shared" si="9"/>
        <v>MURREYSRESIDENTIALPACKLC</v>
      </c>
      <c r="B68" s="81" t="s">
        <v>664</v>
      </c>
      <c r="C68" s="81" t="s">
        <v>665</v>
      </c>
      <c r="D68" s="82">
        <v>0</v>
      </c>
      <c r="E68" s="82">
        <v>0</v>
      </c>
      <c r="F68" s="83">
        <v>0</v>
      </c>
      <c r="G68" s="83">
        <v>0</v>
      </c>
      <c r="H68" s="83">
        <v>0</v>
      </c>
      <c r="I68" s="83">
        <v>0</v>
      </c>
      <c r="J68" s="83">
        <v>0</v>
      </c>
      <c r="K68" s="83">
        <v>0</v>
      </c>
      <c r="L68" s="83">
        <v>0</v>
      </c>
      <c r="M68" s="83">
        <v>0</v>
      </c>
      <c r="N68" s="83">
        <v>0</v>
      </c>
      <c r="O68" s="83">
        <v>0</v>
      </c>
      <c r="P68" s="83">
        <v>0</v>
      </c>
      <c r="Q68" s="83">
        <v>0</v>
      </c>
      <c r="R68" s="116">
        <f t="shared" si="10"/>
        <v>0</v>
      </c>
      <c r="S68" s="83">
        <f t="shared" si="3"/>
        <v>0</v>
      </c>
      <c r="T68" s="83">
        <f t="shared" si="3"/>
        <v>0</v>
      </c>
      <c r="U68" s="83">
        <f t="shared" si="20"/>
        <v>0</v>
      </c>
      <c r="V68" s="83">
        <f t="shared" si="20"/>
        <v>0</v>
      </c>
      <c r="W68" s="83">
        <f t="shared" si="20"/>
        <v>0</v>
      </c>
      <c r="X68" s="83">
        <f t="shared" si="20"/>
        <v>0</v>
      </c>
      <c r="Y68" s="83">
        <f t="shared" si="20"/>
        <v>0</v>
      </c>
      <c r="Z68" s="83">
        <f t="shared" si="19"/>
        <v>0</v>
      </c>
      <c r="AA68" s="83">
        <f t="shared" si="19"/>
        <v>0</v>
      </c>
      <c r="AB68" s="83">
        <f t="shared" si="19"/>
        <v>0</v>
      </c>
      <c r="AC68" s="83">
        <f t="shared" si="19"/>
        <v>0</v>
      </c>
      <c r="AD68" s="83">
        <f t="shared" si="19"/>
        <v>0</v>
      </c>
      <c r="AE68" s="83">
        <f t="shared" si="11"/>
        <v>0</v>
      </c>
      <c r="AF68" s="83"/>
      <c r="AH68" s="83"/>
      <c r="AI68" s="83"/>
      <c r="BB68" s="101">
        <f t="shared" si="12"/>
        <v>0</v>
      </c>
      <c r="BD68" s="112">
        <f t="shared" si="14"/>
        <v>0</v>
      </c>
      <c r="BE68" s="136">
        <f t="shared" si="15"/>
        <v>0</v>
      </c>
      <c r="BF68" s="137">
        <f t="shared" si="16"/>
        <v>0</v>
      </c>
      <c r="BG68" s="113">
        <f t="shared" si="17"/>
        <v>0</v>
      </c>
    </row>
    <row r="69" spans="1:59" s="62" customFormat="1" outlineLevel="1" x14ac:dyDescent="0.25">
      <c r="A69" s="62" t="str">
        <f t="shared" si="9"/>
        <v>MURREYSRESIDENTIALPACKR</v>
      </c>
      <c r="B69" s="81" t="s">
        <v>666</v>
      </c>
      <c r="C69" s="81" t="s">
        <v>667</v>
      </c>
      <c r="D69" s="82">
        <v>5.39</v>
      </c>
      <c r="E69" s="82">
        <v>5.39</v>
      </c>
      <c r="F69" s="83">
        <v>377.61500000000007</v>
      </c>
      <c r="G69" s="83">
        <v>392.995</v>
      </c>
      <c r="H69" s="83">
        <v>380.40500000000003</v>
      </c>
      <c r="I69" s="83">
        <v>392.04499999999996</v>
      </c>
      <c r="J69" s="83">
        <v>385.56499999999994</v>
      </c>
      <c r="K69" s="83">
        <v>421.84999999999997</v>
      </c>
      <c r="L69" s="83">
        <v>435.97</v>
      </c>
      <c r="M69" s="83">
        <v>444.63</v>
      </c>
      <c r="N69" s="83">
        <v>428.83</v>
      </c>
      <c r="O69" s="83">
        <v>382.9</v>
      </c>
      <c r="P69" s="83">
        <v>388.375</v>
      </c>
      <c r="Q69" s="83">
        <v>380.255</v>
      </c>
      <c r="R69" s="116">
        <f t="shared" si="10"/>
        <v>4811.4350000000004</v>
      </c>
      <c r="S69" s="83">
        <f t="shared" si="3"/>
        <v>70.058441558441572</v>
      </c>
      <c r="T69" s="83">
        <f t="shared" si="3"/>
        <v>72.911873840445267</v>
      </c>
      <c r="U69" s="83">
        <f t="shared" si="20"/>
        <v>70.576066790352513</v>
      </c>
      <c r="V69" s="83">
        <f t="shared" si="20"/>
        <v>72.735621521335801</v>
      </c>
      <c r="W69" s="83">
        <f t="shared" si="20"/>
        <v>71.533395176252313</v>
      </c>
      <c r="X69" s="83">
        <f t="shared" si="20"/>
        <v>78.265306122448976</v>
      </c>
      <c r="Y69" s="83">
        <f t="shared" si="20"/>
        <v>80.884972170686467</v>
      </c>
      <c r="Z69" s="83">
        <f t="shared" si="19"/>
        <v>82.491651205936918</v>
      </c>
      <c r="AA69" s="83">
        <f t="shared" si="19"/>
        <v>79.560296846011127</v>
      </c>
      <c r="AB69" s="83">
        <f t="shared" si="19"/>
        <v>71.038961038961034</v>
      </c>
      <c r="AC69" s="83">
        <f t="shared" si="19"/>
        <v>72.05473098330242</v>
      </c>
      <c r="AD69" s="83">
        <f t="shared" si="19"/>
        <v>70.548237476808907</v>
      </c>
      <c r="AE69" s="83">
        <f t="shared" si="11"/>
        <v>74.388296227581961</v>
      </c>
      <c r="AF69" s="83"/>
      <c r="AH69" s="83"/>
      <c r="AI69" s="83"/>
      <c r="BB69" s="101">
        <f t="shared" si="12"/>
        <v>4811.4350000000013</v>
      </c>
      <c r="BD69" s="112">
        <f t="shared" si="14"/>
        <v>5.42</v>
      </c>
      <c r="BE69" s="136">
        <f t="shared" si="15"/>
        <v>4838.2147866419309</v>
      </c>
      <c r="BF69" s="137">
        <f t="shared" si="16"/>
        <v>26.779786641929604</v>
      </c>
      <c r="BG69" s="113">
        <f t="shared" si="17"/>
        <v>5.5658627087198723E-3</v>
      </c>
    </row>
    <row r="70" spans="1:59" s="62" customFormat="1" outlineLevel="1" x14ac:dyDescent="0.25">
      <c r="A70" s="62" t="str">
        <f t="shared" si="9"/>
        <v>MURREYSRESIDENTIALPACKSNR</v>
      </c>
      <c r="B70" s="81" t="s">
        <v>668</v>
      </c>
      <c r="C70" s="81" t="s">
        <v>669</v>
      </c>
      <c r="D70" s="82">
        <v>0</v>
      </c>
      <c r="E70" s="82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116">
        <f t="shared" si="10"/>
        <v>0</v>
      </c>
      <c r="S70" s="83">
        <f t="shared" si="3"/>
        <v>0</v>
      </c>
      <c r="T70" s="83">
        <f t="shared" si="3"/>
        <v>0</v>
      </c>
      <c r="U70" s="83">
        <f t="shared" si="20"/>
        <v>0</v>
      </c>
      <c r="V70" s="83">
        <f t="shared" si="20"/>
        <v>0</v>
      </c>
      <c r="W70" s="83">
        <f t="shared" si="20"/>
        <v>0</v>
      </c>
      <c r="X70" s="83">
        <f t="shared" si="20"/>
        <v>0</v>
      </c>
      <c r="Y70" s="83">
        <f t="shared" si="20"/>
        <v>0</v>
      </c>
      <c r="Z70" s="83">
        <f t="shared" si="19"/>
        <v>0</v>
      </c>
      <c r="AA70" s="83">
        <f t="shared" si="19"/>
        <v>0</v>
      </c>
      <c r="AB70" s="83">
        <f t="shared" si="19"/>
        <v>0</v>
      </c>
      <c r="AC70" s="83">
        <f t="shared" si="19"/>
        <v>0</v>
      </c>
      <c r="AD70" s="83">
        <f t="shared" si="19"/>
        <v>0</v>
      </c>
      <c r="AE70" s="83">
        <f t="shared" si="11"/>
        <v>0</v>
      </c>
      <c r="AF70" s="83"/>
      <c r="AH70" s="83"/>
      <c r="AI70" s="83"/>
      <c r="BB70" s="101">
        <f t="shared" si="12"/>
        <v>0</v>
      </c>
      <c r="BD70" s="112">
        <f t="shared" si="14"/>
        <v>0</v>
      </c>
      <c r="BE70" s="136">
        <f t="shared" si="15"/>
        <v>0</v>
      </c>
      <c r="BF70" s="137">
        <f t="shared" si="16"/>
        <v>0</v>
      </c>
      <c r="BG70" s="113">
        <f t="shared" si="17"/>
        <v>0</v>
      </c>
    </row>
    <row r="71" spans="1:59" s="62" customFormat="1" outlineLevel="1" x14ac:dyDescent="0.25">
      <c r="A71" s="62" t="str">
        <f t="shared" si="9"/>
        <v>MURREYSRESIDENTIALRESTART FEE</v>
      </c>
      <c r="B71" s="81" t="s">
        <v>670</v>
      </c>
      <c r="C71" s="81" t="s">
        <v>670</v>
      </c>
      <c r="D71" s="82">
        <v>11.19</v>
      </c>
      <c r="E71" s="82">
        <v>11.19</v>
      </c>
      <c r="F71" s="83">
        <v>5785.2300000000005</v>
      </c>
      <c r="G71" s="83">
        <v>4945.9800000000005</v>
      </c>
      <c r="H71" s="83">
        <v>4375.29</v>
      </c>
      <c r="I71" s="83">
        <v>447.6</v>
      </c>
      <c r="J71" s="83">
        <v>179.13</v>
      </c>
      <c r="K71" s="83">
        <v>8482.0199999999986</v>
      </c>
      <c r="L71" s="83">
        <v>3605.8</v>
      </c>
      <c r="M71" s="83">
        <v>3422.22</v>
      </c>
      <c r="N71" s="83">
        <v>3915.84</v>
      </c>
      <c r="O71" s="83">
        <v>4689.93</v>
      </c>
      <c r="P71" s="83">
        <v>4330.92</v>
      </c>
      <c r="Q71" s="83">
        <v>5082.66</v>
      </c>
      <c r="R71" s="116">
        <f t="shared" si="10"/>
        <v>49262.619999999995</v>
      </c>
      <c r="S71" s="83">
        <f t="shared" si="3"/>
        <v>517.00000000000011</v>
      </c>
      <c r="T71" s="83">
        <f t="shared" si="3"/>
        <v>442.00000000000006</v>
      </c>
      <c r="U71" s="83">
        <f t="shared" si="20"/>
        <v>391</v>
      </c>
      <c r="V71" s="83">
        <f t="shared" si="20"/>
        <v>40.000000000000007</v>
      </c>
      <c r="W71" s="83">
        <f t="shared" si="20"/>
        <v>16.008042895442358</v>
      </c>
      <c r="X71" s="83">
        <f t="shared" si="20"/>
        <v>757.99999999999989</v>
      </c>
      <c r="Y71" s="83">
        <f t="shared" si="20"/>
        <v>322.2341376228776</v>
      </c>
      <c r="Z71" s="83">
        <f t="shared" si="19"/>
        <v>305.82841823056299</v>
      </c>
      <c r="AA71" s="83">
        <f t="shared" si="19"/>
        <v>349.94101876675609</v>
      </c>
      <c r="AB71" s="83">
        <f t="shared" si="19"/>
        <v>419.117962466488</v>
      </c>
      <c r="AC71" s="83">
        <f t="shared" si="19"/>
        <v>387.03485254691691</v>
      </c>
      <c r="AD71" s="83">
        <f t="shared" si="19"/>
        <v>454.21447721179624</v>
      </c>
      <c r="AE71" s="83">
        <f t="shared" si="11"/>
        <v>366.86490914506999</v>
      </c>
      <c r="AF71" s="83"/>
      <c r="AH71" s="83"/>
      <c r="AI71" s="83"/>
      <c r="BB71" s="101">
        <f t="shared" si="12"/>
        <v>49262.619999999995</v>
      </c>
      <c r="BD71" s="112">
        <f t="shared" si="14"/>
        <v>11.24</v>
      </c>
      <c r="BE71" s="136">
        <f t="shared" si="15"/>
        <v>49482.738945487035</v>
      </c>
      <c r="BF71" s="137">
        <f t="shared" si="16"/>
        <v>220.11894548704004</v>
      </c>
      <c r="BG71" s="113">
        <f t="shared" si="17"/>
        <v>4.4682752457550993E-3</v>
      </c>
    </row>
    <row r="72" spans="1:59" s="62" customFormat="1" outlineLevel="1" x14ac:dyDescent="0.25">
      <c r="A72" s="62" t="str">
        <f t="shared" si="9"/>
        <v>MURREYSRESIDENTIALREXTRA</v>
      </c>
      <c r="B72" s="81" t="s">
        <v>671</v>
      </c>
      <c r="C72" s="81" t="s">
        <v>672</v>
      </c>
      <c r="D72" s="82">
        <v>4.78</v>
      </c>
      <c r="E72" s="82">
        <v>4.83</v>
      </c>
      <c r="F72" s="83">
        <v>27915.200000000001</v>
      </c>
      <c r="G72" s="83">
        <v>17743.580000000002</v>
      </c>
      <c r="H72" s="83">
        <v>25064.21</v>
      </c>
      <c r="I72" s="83">
        <v>28882.22</v>
      </c>
      <c r="J72" s="83">
        <v>27584.38</v>
      </c>
      <c r="K72" s="83">
        <v>23072.83</v>
      </c>
      <c r="L72" s="83">
        <v>23463.559999999998</v>
      </c>
      <c r="M72" s="83">
        <v>18009.260000000002</v>
      </c>
      <c r="N72" s="83">
        <v>18299.86</v>
      </c>
      <c r="O72" s="83">
        <v>19108.89</v>
      </c>
      <c r="P72" s="83">
        <v>19948.16</v>
      </c>
      <c r="Q72" s="83">
        <v>21654.19</v>
      </c>
      <c r="R72" s="116">
        <f t="shared" si="10"/>
        <v>270746.33999999997</v>
      </c>
      <c r="S72" s="83">
        <f t="shared" si="3"/>
        <v>5840</v>
      </c>
      <c r="T72" s="83">
        <f t="shared" si="3"/>
        <v>3712.0460251046029</v>
      </c>
      <c r="U72" s="83">
        <f t="shared" si="20"/>
        <v>5189.2774327122152</v>
      </c>
      <c r="V72" s="83">
        <f t="shared" si="20"/>
        <v>5979.7556935817811</v>
      </c>
      <c r="W72" s="83">
        <f t="shared" si="20"/>
        <v>5711.0517598343686</v>
      </c>
      <c r="X72" s="83">
        <f t="shared" si="20"/>
        <v>4776.9834368530028</v>
      </c>
      <c r="Y72" s="83">
        <f t="shared" si="20"/>
        <v>4857.8799171842647</v>
      </c>
      <c r="Z72" s="83">
        <f t="shared" si="19"/>
        <v>3728.6252587991721</v>
      </c>
      <c r="AA72" s="83">
        <f t="shared" si="19"/>
        <v>3788.7908902691511</v>
      </c>
      <c r="AB72" s="83">
        <f t="shared" si="19"/>
        <v>3956.2919254658382</v>
      </c>
      <c r="AC72" s="83">
        <f t="shared" si="19"/>
        <v>4130.0538302277428</v>
      </c>
      <c r="AD72" s="83">
        <f t="shared" si="19"/>
        <v>4483.2691511387156</v>
      </c>
      <c r="AE72" s="83">
        <f t="shared" si="11"/>
        <v>4679.5021100975709</v>
      </c>
      <c r="AF72" s="83"/>
      <c r="AH72" s="83"/>
      <c r="AI72" s="83"/>
      <c r="BB72" s="101">
        <f t="shared" si="12"/>
        <v>271223.94230125519</v>
      </c>
      <c r="BD72" s="112">
        <f t="shared" si="14"/>
        <v>4.8499999999999996</v>
      </c>
      <c r="BE72" s="136">
        <f t="shared" si="15"/>
        <v>272347.02280767862</v>
      </c>
      <c r="BF72" s="137">
        <f t="shared" si="16"/>
        <v>1123.0805064234301</v>
      </c>
      <c r="BG72" s="113">
        <f t="shared" si="17"/>
        <v>4.1407867494824497E-3</v>
      </c>
    </row>
    <row r="73" spans="1:59" s="62" customFormat="1" outlineLevel="1" x14ac:dyDescent="0.25">
      <c r="A73" s="62" t="str">
        <f t="shared" si="9"/>
        <v>MURREYSRESIDENTIALBULKY-RES</v>
      </c>
      <c r="B73" s="81" t="s">
        <v>673</v>
      </c>
      <c r="C73" s="81" t="s">
        <v>674</v>
      </c>
      <c r="D73" s="82">
        <v>25.51</v>
      </c>
      <c r="E73" s="82">
        <v>25.67</v>
      </c>
      <c r="F73" s="83">
        <v>1595.05</v>
      </c>
      <c r="G73" s="83">
        <v>491.44</v>
      </c>
      <c r="H73" s="83">
        <v>1086.97</v>
      </c>
      <c r="I73" s="83">
        <v>959.11</v>
      </c>
      <c r="J73" s="83">
        <v>1164.6500000000001</v>
      </c>
      <c r="K73" s="83">
        <v>702.22</v>
      </c>
      <c r="L73" s="83">
        <v>1406.67</v>
      </c>
      <c r="M73" s="83">
        <v>1725.55</v>
      </c>
      <c r="N73" s="83">
        <v>753.29</v>
      </c>
      <c r="O73" s="83">
        <v>1485.7600000000002</v>
      </c>
      <c r="P73" s="83">
        <v>1067.27</v>
      </c>
      <c r="Q73" s="83">
        <v>1536.99</v>
      </c>
      <c r="R73" s="116">
        <f t="shared" si="10"/>
        <v>13974.970000000001</v>
      </c>
      <c r="S73" s="83">
        <f t="shared" si="3"/>
        <v>62.526460211681687</v>
      </c>
      <c r="T73" s="83">
        <f t="shared" si="3"/>
        <v>19.264602116816935</v>
      </c>
      <c r="U73" s="83">
        <f t="shared" si="20"/>
        <v>42.343981301129723</v>
      </c>
      <c r="V73" s="83">
        <f t="shared" si="20"/>
        <v>37.363069731203737</v>
      </c>
      <c r="W73" s="83">
        <f t="shared" si="20"/>
        <v>45.370081807557462</v>
      </c>
      <c r="X73" s="83">
        <f t="shared" si="20"/>
        <v>27.355668095052589</v>
      </c>
      <c r="Y73" s="83">
        <f t="shared" si="20"/>
        <v>54.798208024931824</v>
      </c>
      <c r="Z73" s="83">
        <f t="shared" si="19"/>
        <v>67.220490845344756</v>
      </c>
      <c r="AA73" s="83">
        <f t="shared" si="19"/>
        <v>29.345149980522006</v>
      </c>
      <c r="AB73" s="83">
        <f t="shared" si="19"/>
        <v>57.879236462797046</v>
      </c>
      <c r="AC73" s="83">
        <f t="shared" si="19"/>
        <v>41.576548500194775</v>
      </c>
      <c r="AD73" s="83">
        <f t="shared" si="19"/>
        <v>59.87495130502532</v>
      </c>
      <c r="AE73" s="83">
        <f t="shared" si="11"/>
        <v>45.409870698521495</v>
      </c>
      <c r="AF73" s="83"/>
      <c r="AH73" s="83"/>
      <c r="AI73" s="83"/>
      <c r="BB73" s="101">
        <f t="shared" si="12"/>
        <v>13988.056569972563</v>
      </c>
      <c r="BD73" s="112">
        <f t="shared" si="14"/>
        <v>25.79</v>
      </c>
      <c r="BE73" s="136">
        <f t="shared" si="15"/>
        <v>14053.446783778432</v>
      </c>
      <c r="BF73" s="137">
        <f t="shared" si="16"/>
        <v>65.39021380586928</v>
      </c>
      <c r="BG73" s="113">
        <f t="shared" si="17"/>
        <v>4.6747175691467437E-3</v>
      </c>
    </row>
    <row r="74" spans="1:59" s="62" customFormat="1" outlineLevel="1" x14ac:dyDescent="0.25">
      <c r="A74" s="62" t="str">
        <f t="shared" si="9"/>
        <v>MURREYSRESIDENTIALDELCART</v>
      </c>
      <c r="B74" s="81" t="s">
        <v>675</v>
      </c>
      <c r="C74" s="81" t="s">
        <v>676</v>
      </c>
      <c r="D74" s="82">
        <v>22.47</v>
      </c>
      <c r="E74" s="82">
        <v>22.47</v>
      </c>
      <c r="F74" s="83">
        <v>1078.56</v>
      </c>
      <c r="G74" s="83">
        <v>629.16</v>
      </c>
      <c r="H74" s="83">
        <v>898.8</v>
      </c>
      <c r="I74" s="83">
        <v>763.98</v>
      </c>
      <c r="J74" s="83">
        <v>853.86</v>
      </c>
      <c r="K74" s="83">
        <v>471.87</v>
      </c>
      <c r="L74" s="83">
        <v>561.75</v>
      </c>
      <c r="M74" s="83">
        <v>292.77</v>
      </c>
      <c r="N74" s="83">
        <v>360.48</v>
      </c>
      <c r="O74" s="83">
        <v>337.95000000000005</v>
      </c>
      <c r="P74" s="83">
        <v>247.83</v>
      </c>
      <c r="Q74" s="83">
        <v>270.36</v>
      </c>
      <c r="R74" s="116">
        <f t="shared" si="10"/>
        <v>6767.369999999999</v>
      </c>
      <c r="S74" s="83">
        <f t="shared" si="3"/>
        <v>48</v>
      </c>
      <c r="T74" s="83">
        <f t="shared" si="3"/>
        <v>28</v>
      </c>
      <c r="U74" s="83">
        <f t="shared" si="20"/>
        <v>40</v>
      </c>
      <c r="V74" s="83">
        <f t="shared" si="20"/>
        <v>34</v>
      </c>
      <c r="W74" s="83">
        <f t="shared" si="20"/>
        <v>38</v>
      </c>
      <c r="X74" s="83">
        <f t="shared" si="20"/>
        <v>21</v>
      </c>
      <c r="Y74" s="83">
        <f t="shared" si="20"/>
        <v>25</v>
      </c>
      <c r="Z74" s="83">
        <f t="shared" si="19"/>
        <v>13.029372496662216</v>
      </c>
      <c r="AA74" s="83">
        <f t="shared" si="19"/>
        <v>16.042723631508679</v>
      </c>
      <c r="AB74" s="83">
        <f t="shared" si="19"/>
        <v>15.040053404539389</v>
      </c>
      <c r="AC74" s="83">
        <f t="shared" si="19"/>
        <v>11.029372496662218</v>
      </c>
      <c r="AD74" s="83">
        <f t="shared" si="19"/>
        <v>12.032042723631509</v>
      </c>
      <c r="AE74" s="83">
        <f t="shared" si="11"/>
        <v>25.097797062750331</v>
      </c>
      <c r="AF74" s="83"/>
      <c r="AH74" s="83"/>
      <c r="AI74" s="83"/>
      <c r="BB74" s="101">
        <f t="shared" si="12"/>
        <v>6767.369999999999</v>
      </c>
      <c r="BD74" s="112">
        <f t="shared" si="14"/>
        <v>22.58</v>
      </c>
      <c r="BE74" s="136">
        <f t="shared" si="15"/>
        <v>6800.4990921228291</v>
      </c>
      <c r="BF74" s="137">
        <f t="shared" si="16"/>
        <v>33.129092122830116</v>
      </c>
      <c r="BG74" s="113">
        <f t="shared" si="17"/>
        <v>4.895416110369334E-3</v>
      </c>
    </row>
    <row r="75" spans="1:59" s="62" customFormat="1" outlineLevel="1" x14ac:dyDescent="0.25">
      <c r="A75" s="62" t="str">
        <f t="shared" si="9"/>
        <v>MURREYSRESIDENTIALSUNKENR</v>
      </c>
      <c r="B75" s="81" t="s">
        <v>677</v>
      </c>
      <c r="C75" s="81" t="s">
        <v>678</v>
      </c>
      <c r="D75" s="82">
        <v>0.84</v>
      </c>
      <c r="E75" s="82">
        <v>0.84</v>
      </c>
      <c r="F75" s="83">
        <v>1.68</v>
      </c>
      <c r="G75" s="83">
        <v>1.68</v>
      </c>
      <c r="H75" s="83">
        <v>-27.240000000000002</v>
      </c>
      <c r="I75" s="83">
        <v>0.84</v>
      </c>
      <c r="J75" s="83">
        <v>0.84</v>
      </c>
      <c r="K75" s="83">
        <v>0.84</v>
      </c>
      <c r="L75" s="83">
        <v>0.84</v>
      </c>
      <c r="M75" s="83">
        <v>0.84</v>
      </c>
      <c r="N75" s="83">
        <v>0.84</v>
      </c>
      <c r="O75" s="83">
        <v>0.84</v>
      </c>
      <c r="P75" s="83">
        <v>0.84</v>
      </c>
      <c r="Q75" s="83">
        <v>0.84</v>
      </c>
      <c r="R75" s="116">
        <f t="shared" si="10"/>
        <v>-16.320000000000004</v>
      </c>
      <c r="S75" s="83">
        <f t="shared" si="3"/>
        <v>2</v>
      </c>
      <c r="T75" s="83">
        <f t="shared" si="3"/>
        <v>2</v>
      </c>
      <c r="U75" s="83">
        <f t="shared" si="20"/>
        <v>-32.428571428571431</v>
      </c>
      <c r="V75" s="83">
        <f t="shared" si="20"/>
        <v>1</v>
      </c>
      <c r="W75" s="83">
        <f t="shared" si="20"/>
        <v>1</v>
      </c>
      <c r="X75" s="83">
        <f t="shared" si="20"/>
        <v>1</v>
      </c>
      <c r="Y75" s="83">
        <f t="shared" si="20"/>
        <v>1</v>
      </c>
      <c r="Z75" s="83">
        <f t="shared" si="19"/>
        <v>1</v>
      </c>
      <c r="AA75" s="83">
        <f t="shared" si="19"/>
        <v>1</v>
      </c>
      <c r="AB75" s="83">
        <f t="shared" si="19"/>
        <v>1</v>
      </c>
      <c r="AC75" s="83">
        <f t="shared" si="19"/>
        <v>1</v>
      </c>
      <c r="AD75" s="83">
        <f t="shared" si="19"/>
        <v>1</v>
      </c>
      <c r="AE75" s="83">
        <f t="shared" si="11"/>
        <v>-1.6190476190476193</v>
      </c>
      <c r="AF75" s="83"/>
      <c r="AH75" s="83"/>
      <c r="AI75" s="83"/>
      <c r="BB75" s="101">
        <f t="shared" ref="BB75:BB77" si="22">+AE75*E75*12</f>
        <v>-16.32</v>
      </c>
      <c r="BD75" s="112">
        <f t="shared" si="14"/>
        <v>0.84</v>
      </c>
      <c r="BE75" s="136">
        <f t="shared" si="15"/>
        <v>-16.32</v>
      </c>
      <c r="BF75" s="137">
        <f t="shared" si="16"/>
        <v>0</v>
      </c>
      <c r="BG75" s="113">
        <f t="shared" si="17"/>
        <v>0</v>
      </c>
    </row>
    <row r="76" spans="1:59" s="62" customFormat="1" outlineLevel="1" x14ac:dyDescent="0.25">
      <c r="A76" s="62" t="str">
        <f t="shared" si="9"/>
        <v>MURREYSRESIDENTIALTRIPRCANS</v>
      </c>
      <c r="B76" s="81" t="s">
        <v>679</v>
      </c>
      <c r="C76" s="81" t="s">
        <v>680</v>
      </c>
      <c r="D76" s="82">
        <v>8.9700000000000006</v>
      </c>
      <c r="E76" s="82">
        <v>8.9700000000000006</v>
      </c>
      <c r="F76" s="83">
        <v>600.99</v>
      </c>
      <c r="G76" s="83">
        <v>484.38</v>
      </c>
      <c r="H76" s="83">
        <v>797.14</v>
      </c>
      <c r="I76" s="83">
        <v>525.33000000000004</v>
      </c>
      <c r="J76" s="83">
        <v>654.80999999999995</v>
      </c>
      <c r="K76" s="83">
        <v>1031.55</v>
      </c>
      <c r="L76" s="83">
        <v>668.84999999999991</v>
      </c>
      <c r="M76" s="83">
        <v>557.19999999999993</v>
      </c>
      <c r="N76" s="83">
        <v>656.27</v>
      </c>
      <c r="O76" s="83">
        <v>694.24</v>
      </c>
      <c r="P76" s="83">
        <v>836.06999999999994</v>
      </c>
      <c r="Q76" s="83">
        <v>791.12000000000012</v>
      </c>
      <c r="R76" s="116">
        <f t="shared" si="10"/>
        <v>8297.9499999999989</v>
      </c>
      <c r="S76" s="83">
        <f t="shared" si="3"/>
        <v>67</v>
      </c>
      <c r="T76" s="83">
        <f t="shared" si="3"/>
        <v>53.999999999999993</v>
      </c>
      <c r="U76" s="83">
        <f t="shared" si="20"/>
        <v>88.867335562987734</v>
      </c>
      <c r="V76" s="83">
        <f t="shared" si="20"/>
        <v>58.565217391304351</v>
      </c>
      <c r="W76" s="83">
        <f t="shared" si="20"/>
        <v>72.999999999999986</v>
      </c>
      <c r="X76" s="83">
        <f t="shared" si="20"/>
        <v>114.99999999999999</v>
      </c>
      <c r="Y76" s="83">
        <f t="shared" si="20"/>
        <v>74.56521739130433</v>
      </c>
      <c r="Z76" s="83">
        <f t="shared" si="19"/>
        <v>62.118171683389065</v>
      </c>
      <c r="AA76" s="83">
        <f t="shared" si="19"/>
        <v>73.162764771460417</v>
      </c>
      <c r="AB76" s="83">
        <f t="shared" si="19"/>
        <v>77.395763656633221</v>
      </c>
      <c r="AC76" s="83">
        <f t="shared" si="19"/>
        <v>93.207357859531754</v>
      </c>
      <c r="AD76" s="83">
        <f t="shared" si="19"/>
        <v>88.196209587513948</v>
      </c>
      <c r="AE76" s="83">
        <f t="shared" si="11"/>
        <v>77.089836492010406</v>
      </c>
      <c r="AF76" s="83"/>
      <c r="AH76" s="83"/>
      <c r="AI76" s="83"/>
      <c r="BB76" s="101">
        <f t="shared" si="22"/>
        <v>8297.9500000000007</v>
      </c>
      <c r="BD76" s="112">
        <f t="shared" si="14"/>
        <v>9.01</v>
      </c>
      <c r="BE76" s="136">
        <f t="shared" si="15"/>
        <v>8334.953121516166</v>
      </c>
      <c r="BF76" s="137">
        <f t="shared" si="16"/>
        <v>37.003121516165265</v>
      </c>
      <c r="BG76" s="113">
        <f t="shared" si="17"/>
        <v>4.4593088071349261E-3</v>
      </c>
    </row>
    <row r="77" spans="1:59" s="62" customFormat="1" outlineLevel="1" x14ac:dyDescent="0.25">
      <c r="A77" s="62" t="str">
        <f t="shared" si="9"/>
        <v>MURREYSRESIDENTIALTRIPRCARTS</v>
      </c>
      <c r="B77" s="81" t="s">
        <v>681</v>
      </c>
      <c r="C77" s="81" t="s">
        <v>682</v>
      </c>
      <c r="D77" s="82">
        <v>12.87</v>
      </c>
      <c r="E77" s="82">
        <v>12.87</v>
      </c>
      <c r="F77" s="83">
        <v>321.75</v>
      </c>
      <c r="G77" s="83">
        <v>218.82</v>
      </c>
      <c r="H77" s="83">
        <v>244.53</v>
      </c>
      <c r="I77" s="83">
        <v>244.52999999999997</v>
      </c>
      <c r="J77" s="83">
        <v>347.49</v>
      </c>
      <c r="K77" s="83">
        <v>386.09999999999997</v>
      </c>
      <c r="L77" s="83">
        <v>296.01</v>
      </c>
      <c r="M77" s="83">
        <v>193.53000000000003</v>
      </c>
      <c r="N77" s="83">
        <v>309.83999999999997</v>
      </c>
      <c r="O77" s="83">
        <v>219.46999999999997</v>
      </c>
      <c r="P77" s="83">
        <v>287.94</v>
      </c>
      <c r="Q77" s="83">
        <v>361.48</v>
      </c>
      <c r="R77" s="116">
        <f t="shared" si="10"/>
        <v>3431.49</v>
      </c>
      <c r="S77" s="83">
        <f t="shared" si="3"/>
        <v>25</v>
      </c>
      <c r="T77" s="83">
        <f t="shared" si="3"/>
        <v>17.002331002331005</v>
      </c>
      <c r="U77" s="83">
        <f t="shared" si="20"/>
        <v>19</v>
      </c>
      <c r="V77" s="83">
        <f t="shared" si="20"/>
        <v>19</v>
      </c>
      <c r="W77" s="83">
        <f t="shared" si="20"/>
        <v>27.000000000000004</v>
      </c>
      <c r="X77" s="83">
        <f t="shared" si="20"/>
        <v>30</v>
      </c>
      <c r="Y77" s="83">
        <f t="shared" si="20"/>
        <v>23</v>
      </c>
      <c r="Z77" s="83">
        <f t="shared" si="19"/>
        <v>15.037296037296041</v>
      </c>
      <c r="AA77" s="83">
        <f t="shared" si="19"/>
        <v>24.074592074592076</v>
      </c>
      <c r="AB77" s="83">
        <f t="shared" si="19"/>
        <v>17.052836052836053</v>
      </c>
      <c r="AC77" s="83">
        <f t="shared" si="19"/>
        <v>22.372960372960375</v>
      </c>
      <c r="AD77" s="83">
        <f t="shared" si="19"/>
        <v>28.087024087024091</v>
      </c>
      <c r="AE77" s="83">
        <f t="shared" si="11"/>
        <v>22.218919968919966</v>
      </c>
      <c r="AF77" s="83"/>
      <c r="AH77" s="83"/>
      <c r="AI77" s="83"/>
      <c r="BB77" s="101">
        <f t="shared" si="22"/>
        <v>3431.4899999999989</v>
      </c>
      <c r="BD77" s="112">
        <f t="shared" ref="BD77" si="23">ROUND(E77*(1+$BF$4),2)</f>
        <v>12.93</v>
      </c>
      <c r="BE77" s="136">
        <f t="shared" ref="BE77" si="24">BD77*AE77*12</f>
        <v>3447.4876223776218</v>
      </c>
      <c r="BF77" s="137">
        <f t="shared" ref="BF77" si="25">+BE77-BB77</f>
        <v>15.997622377622974</v>
      </c>
      <c r="BG77" s="113">
        <f t="shared" ref="BG77:BG79" si="26">IFERROR(+BF77/BB77,0)</f>
        <v>4.6620046620048372E-3</v>
      </c>
    </row>
    <row r="78" spans="1:59" s="62" customFormat="1" outlineLevel="1" x14ac:dyDescent="0.25">
      <c r="B78" s="81"/>
      <c r="C78" s="81"/>
      <c r="D78" s="82"/>
      <c r="E78" s="82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117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H78" s="83"/>
      <c r="AI78" s="83"/>
      <c r="BB78" s="101"/>
    </row>
    <row r="79" spans="1:59" s="62" customFormat="1" outlineLevel="1" x14ac:dyDescent="0.25">
      <c r="B79" s="81"/>
      <c r="C79" s="85" t="s">
        <v>683</v>
      </c>
      <c r="D79" s="82"/>
      <c r="E79" s="82"/>
      <c r="F79" s="86">
        <f t="shared" ref="F79:P79" si="27">SUM(F10:F78)</f>
        <v>1521077.11</v>
      </c>
      <c r="G79" s="86">
        <f>SUM(G10:G78)</f>
        <v>1514384.1049999997</v>
      </c>
      <c r="H79" s="86">
        <f t="shared" si="27"/>
        <v>1544822.4200000006</v>
      </c>
      <c r="I79" s="86">
        <f t="shared" si="27"/>
        <v>1557612.1500000001</v>
      </c>
      <c r="J79" s="86">
        <f t="shared" si="27"/>
        <v>1560407.6599999997</v>
      </c>
      <c r="K79" s="86">
        <f t="shared" si="27"/>
        <v>1585308.9650000003</v>
      </c>
      <c r="L79" s="86">
        <f t="shared" si="27"/>
        <v>1590751.8100000003</v>
      </c>
      <c r="M79" s="86">
        <f t="shared" si="27"/>
        <v>1596786.67</v>
      </c>
      <c r="N79" s="86">
        <f t="shared" si="27"/>
        <v>1607029.7100000007</v>
      </c>
      <c r="O79" s="86">
        <f t="shared" si="27"/>
        <v>1617510.6899999997</v>
      </c>
      <c r="P79" s="86">
        <f t="shared" si="27"/>
        <v>1620898.43</v>
      </c>
      <c r="Q79" s="86">
        <f>SUM(Q10:Q78)</f>
        <v>1634763.135</v>
      </c>
      <c r="R79" s="86">
        <f>SUM(R10:R78)</f>
        <v>18951352.854999993</v>
      </c>
      <c r="S79" s="86">
        <f>SUM(S10:S53)</f>
        <v>59096.857102390946</v>
      </c>
      <c r="T79" s="86">
        <f t="shared" ref="T79:AD79" si="28">SUM(T10:T53)</f>
        <v>59244.436440412108</v>
      </c>
      <c r="U79" s="86">
        <f t="shared" si="28"/>
        <v>59492.589931606213</v>
      </c>
      <c r="V79" s="86">
        <f t="shared" si="28"/>
        <v>59890.39449961856</v>
      </c>
      <c r="W79" s="86">
        <f t="shared" si="28"/>
        <v>59913.843126317763</v>
      </c>
      <c r="X79" s="86">
        <f t="shared" si="28"/>
        <v>60575.166933842767</v>
      </c>
      <c r="Y79" s="86">
        <f>SUM(Y10:Y53)</f>
        <v>60825.387287000631</v>
      </c>
      <c r="Z79" s="86">
        <f t="shared" si="28"/>
        <v>61179.658034206288</v>
      </c>
      <c r="AA79" s="86">
        <f t="shared" si="28"/>
        <v>61415.016061659939</v>
      </c>
      <c r="AB79" s="86">
        <f t="shared" si="28"/>
        <v>61547.258041676614</v>
      </c>
      <c r="AC79" s="86">
        <f t="shared" si="28"/>
        <v>61537.58417540892</v>
      </c>
      <c r="AD79" s="86">
        <f t="shared" si="28"/>
        <v>61775.629142251586</v>
      </c>
      <c r="AE79" s="86">
        <f>SUM(AE10:AE53)</f>
        <v>60541.151731366022</v>
      </c>
      <c r="AF79" s="87"/>
      <c r="AH79" s="83"/>
      <c r="AI79" s="83"/>
      <c r="BB79" s="118">
        <f>SUM(BB10:BB78)</f>
        <v>18979569.968395051</v>
      </c>
      <c r="BE79" s="118">
        <f t="shared" ref="BE79:BF79" si="29">SUM(BE10:BE78)</f>
        <v>19069809.149797682</v>
      </c>
      <c r="BF79" s="118">
        <f t="shared" si="29"/>
        <v>90239.181402625632</v>
      </c>
      <c r="BG79" s="113">
        <f t="shared" si="26"/>
        <v>4.7545429929599422E-3</v>
      </c>
    </row>
    <row r="80" spans="1:59" s="62" customFormat="1" outlineLevel="1" x14ac:dyDescent="0.25">
      <c r="B80" s="81"/>
      <c r="C80" s="81"/>
      <c r="D80" s="82"/>
      <c r="E80" s="82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119" t="s">
        <v>684</v>
      </c>
      <c r="S80" s="83">
        <f>SUM(S13,S21,S23,S27,S30,S32,S34,S36,S39,S42,S44,S45,S47,S49,S51,S16)</f>
        <v>58373.855513179384</v>
      </c>
      <c r="T80" s="83">
        <f t="shared" ref="T80:AD80" si="30">SUM(T13,T21,T23,T27,T30,T32,T34,T36,T39,T42,T44,T45,T47,T49,T51,T16)</f>
        <v>58543.731289058465</v>
      </c>
      <c r="U80" s="83">
        <f t="shared" si="30"/>
        <v>58800.438926594026</v>
      </c>
      <c r="V80" s="83">
        <f t="shared" si="30"/>
        <v>59205.76941608372</v>
      </c>
      <c r="W80" s="83">
        <f t="shared" si="30"/>
        <v>59224.592983914961</v>
      </c>
      <c r="X80" s="83">
        <f t="shared" si="30"/>
        <v>59885.541231639596</v>
      </c>
      <c r="Y80" s="83">
        <f>SUM(Y13,Y21,Y23,Y27,Y30,Y32,Y34,Y36,Y39,Y42,Y44,Y45,Y47,Y49,Y51,Y16)</f>
        <v>60131.544511294233</v>
      </c>
      <c r="Z80" s="83">
        <f t="shared" si="30"/>
        <v>60495.503524253705</v>
      </c>
      <c r="AA80" s="83">
        <f t="shared" si="30"/>
        <v>60730.233083190928</v>
      </c>
      <c r="AB80" s="83">
        <f t="shared" si="30"/>
        <v>60861.989853378109</v>
      </c>
      <c r="AC80" s="83">
        <f t="shared" si="30"/>
        <v>60852.763875526158</v>
      </c>
      <c r="AD80" s="83">
        <f t="shared" si="30"/>
        <v>61094.66510306135</v>
      </c>
      <c r="AE80" s="83"/>
      <c r="AF80" s="83"/>
      <c r="AH80" s="83"/>
      <c r="AI80" s="83"/>
      <c r="BB80" s="101"/>
    </row>
    <row r="81" spans="1:59" s="62" customFormat="1" outlineLevel="1" x14ac:dyDescent="0.25">
      <c r="B81" s="88" t="s">
        <v>685</v>
      </c>
      <c r="C81" s="81"/>
      <c r="D81" s="82"/>
      <c r="E81" s="82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117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H81" s="83"/>
      <c r="AI81" s="83"/>
      <c r="BB81" s="101"/>
    </row>
    <row r="82" spans="1:59" s="62" customFormat="1" outlineLevel="1" x14ac:dyDescent="0.25">
      <c r="A82" s="62" t="str">
        <f t="shared" ref="A82:A90" si="31">+$A$4&amp;$A$9&amp;B82</f>
        <v>MURREYSRESIDENTIALrecyonly</v>
      </c>
      <c r="B82" s="81" t="s">
        <v>686</v>
      </c>
      <c r="C82" s="81" t="s">
        <v>687</v>
      </c>
      <c r="D82" s="82">
        <v>11.04</v>
      </c>
      <c r="E82" s="82">
        <v>11.04</v>
      </c>
      <c r="F82" s="83">
        <v>2726.8799999999997</v>
      </c>
      <c r="G82" s="83">
        <v>2737.92</v>
      </c>
      <c r="H82" s="83">
        <v>2740.68</v>
      </c>
      <c r="I82" s="83">
        <v>2735.59</v>
      </c>
      <c r="J82" s="83">
        <v>2668.92</v>
      </c>
      <c r="K82" s="83">
        <v>2660.64</v>
      </c>
      <c r="L82" s="83">
        <v>2645.79</v>
      </c>
      <c r="M82" s="83">
        <v>2484.4700000000003</v>
      </c>
      <c r="N82" s="83">
        <v>2571.02</v>
      </c>
      <c r="O82" s="83">
        <v>2582.08</v>
      </c>
      <c r="P82" s="83">
        <v>2565.4749999999999</v>
      </c>
      <c r="Q82" s="83">
        <v>2526.7250000000004</v>
      </c>
      <c r="R82" s="116">
        <f t="shared" ref="R82:R92" si="32">+SUM(F82:Q82)</f>
        <v>31646.189999999995</v>
      </c>
      <c r="S82" s="83">
        <f t="shared" ref="S82:T90" si="33">+IFERROR(F82/$D82,0)</f>
        <v>247</v>
      </c>
      <c r="T82" s="83">
        <f t="shared" si="33"/>
        <v>248.00000000000003</v>
      </c>
      <c r="U82" s="83">
        <f t="shared" ref="U82:AD90" si="34">+IFERROR(H82/$E82,0)</f>
        <v>248.25</v>
      </c>
      <c r="V82" s="83">
        <f t="shared" si="34"/>
        <v>247.78894927536234</v>
      </c>
      <c r="W82" s="83">
        <f t="shared" si="34"/>
        <v>241.75000000000003</v>
      </c>
      <c r="X82" s="83">
        <f t="shared" si="34"/>
        <v>241</v>
      </c>
      <c r="Y82" s="83">
        <f t="shared" si="34"/>
        <v>239.65489130434784</v>
      </c>
      <c r="Z82" s="83">
        <f t="shared" si="34"/>
        <v>225.04257246376815</v>
      </c>
      <c r="AA82" s="83">
        <f t="shared" si="34"/>
        <v>232.88224637681162</v>
      </c>
      <c r="AB82" s="83">
        <f t="shared" si="34"/>
        <v>233.8840579710145</v>
      </c>
      <c r="AC82" s="83">
        <f t="shared" si="34"/>
        <v>232.37998188405797</v>
      </c>
      <c r="AD82" s="83">
        <f t="shared" si="34"/>
        <v>228.87001811594209</v>
      </c>
      <c r="AE82" s="83">
        <f t="shared" ref="AE82:AE90" si="35">+SUM(S82:AD82)/$AB$2</f>
        <v>238.87522644927537</v>
      </c>
      <c r="AF82" s="83"/>
      <c r="AH82" s="83"/>
      <c r="AI82" s="83"/>
      <c r="BB82" s="101">
        <f t="shared" ref="BB82:BB90" si="36">+AE82*E82*12</f>
        <v>31646.19</v>
      </c>
      <c r="BD82" s="112">
        <f t="shared" ref="BD82:BD90" si="37">ROUND(E82*(1+$BF$4),2)</f>
        <v>11.09</v>
      </c>
      <c r="BE82" s="136">
        <f t="shared" ref="BE82:BE90" si="38">BD82*AE82*12</f>
        <v>31789.515135869566</v>
      </c>
      <c r="BF82" s="137">
        <f t="shared" ref="BF82:BF90" si="39">+BE82-BB82</f>
        <v>143.32513586956702</v>
      </c>
      <c r="BG82" s="113">
        <f t="shared" ref="BG82:BG90" si="40">IFERROR(+BF82/BB82,0)</f>
        <v>4.5289855072464342E-3</v>
      </c>
    </row>
    <row r="83" spans="1:59" s="62" customFormat="1" outlineLevel="1" x14ac:dyDescent="0.25">
      <c r="A83" s="62" t="str">
        <f t="shared" si="31"/>
        <v>MURREYSRESIDENTIALRECYR</v>
      </c>
      <c r="B83" s="81" t="s">
        <v>688</v>
      </c>
      <c r="C83" s="81" t="s">
        <v>689</v>
      </c>
      <c r="D83" s="82">
        <v>7.36</v>
      </c>
      <c r="E83" s="82">
        <v>7.36</v>
      </c>
      <c r="F83" s="83">
        <v>431232.17499999993</v>
      </c>
      <c r="G83" s="83">
        <v>431619.57500000001</v>
      </c>
      <c r="H83" s="83">
        <v>435415.25499999995</v>
      </c>
      <c r="I83" s="83">
        <v>437068.56000000006</v>
      </c>
      <c r="J83" s="83">
        <v>436909.77000000008</v>
      </c>
      <c r="K83" s="83">
        <v>441816.76999999996</v>
      </c>
      <c r="L83" s="83">
        <v>443481.74500000005</v>
      </c>
      <c r="M83" s="83">
        <v>445814.19499999995</v>
      </c>
      <c r="N83" s="83">
        <v>447308.05999999994</v>
      </c>
      <c r="O83" s="83">
        <v>448564.47500000003</v>
      </c>
      <c r="P83" s="83">
        <v>448850.315</v>
      </c>
      <c r="Q83" s="83">
        <v>450555.12</v>
      </c>
      <c r="R83" s="116">
        <f t="shared" si="32"/>
        <v>5298636.0150000006</v>
      </c>
      <c r="S83" s="83">
        <f t="shared" si="33"/>
        <v>58591.328124999985</v>
      </c>
      <c r="T83" s="83">
        <f t="shared" si="33"/>
        <v>58643.963994565216</v>
      </c>
      <c r="U83" s="83">
        <f t="shared" si="34"/>
        <v>59159.681385869553</v>
      </c>
      <c r="V83" s="83">
        <f t="shared" si="34"/>
        <v>59384.315217391311</v>
      </c>
      <c r="W83" s="83">
        <f t="shared" si="34"/>
        <v>59362.74048913044</v>
      </c>
      <c r="X83" s="83">
        <f t="shared" si="34"/>
        <v>60029.452445652169</v>
      </c>
      <c r="Y83" s="83">
        <f t="shared" si="34"/>
        <v>60255.671875000007</v>
      </c>
      <c r="Z83" s="83">
        <f t="shared" si="34"/>
        <v>60572.580842391297</v>
      </c>
      <c r="AA83" s="83">
        <f t="shared" si="34"/>
        <v>60775.551630434769</v>
      </c>
      <c r="AB83" s="83">
        <f t="shared" si="34"/>
        <v>60946.260190217392</v>
      </c>
      <c r="AC83" s="83">
        <f t="shared" si="34"/>
        <v>60985.097146739128</v>
      </c>
      <c r="AD83" s="83">
        <f t="shared" si="34"/>
        <v>61216.72826086956</v>
      </c>
      <c r="AE83" s="83">
        <f t="shared" si="35"/>
        <v>59993.614300271729</v>
      </c>
      <c r="AF83" s="83"/>
      <c r="AH83" s="83"/>
      <c r="AI83" s="83"/>
      <c r="BB83" s="101">
        <f t="shared" si="36"/>
        <v>5298636.0149999997</v>
      </c>
      <c r="BD83" s="112">
        <f t="shared" si="37"/>
        <v>7.39</v>
      </c>
      <c r="BE83" s="136">
        <f t="shared" si="38"/>
        <v>5320233.7161480961</v>
      </c>
      <c r="BF83" s="137">
        <f t="shared" si="39"/>
        <v>21597.701148096472</v>
      </c>
      <c r="BG83" s="113">
        <f t="shared" si="40"/>
        <v>4.076086956521484E-3</v>
      </c>
    </row>
    <row r="84" spans="1:59" s="62" customFormat="1" outlineLevel="1" x14ac:dyDescent="0.25">
      <c r="A84" s="62" t="str">
        <f t="shared" si="31"/>
        <v>MURREYSRESIDENTIALRECYR65</v>
      </c>
      <c r="B84" s="81" t="s">
        <v>690</v>
      </c>
      <c r="C84" s="81" t="s">
        <v>691</v>
      </c>
      <c r="D84" s="82">
        <v>0</v>
      </c>
      <c r="E84" s="82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116">
        <f t="shared" si="32"/>
        <v>0</v>
      </c>
      <c r="S84" s="83">
        <f t="shared" si="33"/>
        <v>0</v>
      </c>
      <c r="T84" s="83">
        <f t="shared" si="33"/>
        <v>0</v>
      </c>
      <c r="U84" s="83">
        <f t="shared" si="34"/>
        <v>0</v>
      </c>
      <c r="V84" s="83">
        <f t="shared" si="34"/>
        <v>0</v>
      </c>
      <c r="W84" s="83">
        <f t="shared" si="34"/>
        <v>0</v>
      </c>
      <c r="X84" s="83">
        <f t="shared" si="34"/>
        <v>0</v>
      </c>
      <c r="Y84" s="83">
        <f t="shared" si="34"/>
        <v>0</v>
      </c>
      <c r="Z84" s="83">
        <f t="shared" si="34"/>
        <v>0</v>
      </c>
      <c r="AA84" s="83">
        <f t="shared" si="34"/>
        <v>0</v>
      </c>
      <c r="AB84" s="83">
        <f t="shared" si="34"/>
        <v>0</v>
      </c>
      <c r="AC84" s="83">
        <f t="shared" si="34"/>
        <v>0</v>
      </c>
      <c r="AD84" s="83">
        <f t="shared" si="34"/>
        <v>0</v>
      </c>
      <c r="AE84" s="83">
        <f t="shared" si="35"/>
        <v>0</v>
      </c>
      <c r="AF84" s="83"/>
      <c r="AH84" s="83"/>
      <c r="AI84" s="83"/>
      <c r="BB84" s="101">
        <f t="shared" si="36"/>
        <v>0</v>
      </c>
      <c r="BD84" s="112">
        <f t="shared" si="37"/>
        <v>0</v>
      </c>
      <c r="BE84" s="136">
        <f t="shared" si="38"/>
        <v>0</v>
      </c>
      <c r="BF84" s="137">
        <f t="shared" si="39"/>
        <v>0</v>
      </c>
      <c r="BG84" s="113">
        <f t="shared" si="40"/>
        <v>0</v>
      </c>
    </row>
    <row r="85" spans="1:59" s="62" customFormat="1" outlineLevel="1" x14ac:dyDescent="0.25">
      <c r="A85" s="62" t="str">
        <f t="shared" si="31"/>
        <v>MURREYSRESIDENTIALRECYRNB</v>
      </c>
      <c r="B85" s="81" t="s">
        <v>692</v>
      </c>
      <c r="C85" s="81" t="s">
        <v>693</v>
      </c>
      <c r="D85" s="82">
        <v>7.36</v>
      </c>
      <c r="E85" s="82">
        <v>7.36</v>
      </c>
      <c r="F85" s="83">
        <v>5177.7600000000011</v>
      </c>
      <c r="G85" s="83">
        <v>5094.96</v>
      </c>
      <c r="H85" s="83">
        <v>5078.4000000000005</v>
      </c>
      <c r="I85" s="83">
        <v>5058.16</v>
      </c>
      <c r="J85" s="83">
        <v>5071.0400000000009</v>
      </c>
      <c r="K85" s="83">
        <v>5030.5599999999995</v>
      </c>
      <c r="L85" s="83">
        <v>5013.7</v>
      </c>
      <c r="M85" s="83">
        <v>5011.3050000000003</v>
      </c>
      <c r="N85" s="83">
        <v>5009.1749999999993</v>
      </c>
      <c r="O85" s="83">
        <v>4959.9699999999993</v>
      </c>
      <c r="P85" s="83">
        <v>4927.9949999999999</v>
      </c>
      <c r="Q85" s="83">
        <v>4890.08</v>
      </c>
      <c r="R85" s="116">
        <f t="shared" si="32"/>
        <v>60323.105000000003</v>
      </c>
      <c r="S85" s="83">
        <f t="shared" si="33"/>
        <v>703.50000000000011</v>
      </c>
      <c r="T85" s="83">
        <f t="shared" si="33"/>
        <v>692.25</v>
      </c>
      <c r="U85" s="83">
        <f t="shared" si="34"/>
        <v>690</v>
      </c>
      <c r="V85" s="83">
        <f t="shared" si="34"/>
        <v>687.25</v>
      </c>
      <c r="W85" s="83">
        <f t="shared" si="34"/>
        <v>689.00000000000011</v>
      </c>
      <c r="X85" s="83">
        <f t="shared" si="34"/>
        <v>683.49999999999989</v>
      </c>
      <c r="Y85" s="83">
        <f t="shared" si="34"/>
        <v>681.20923913043475</v>
      </c>
      <c r="Z85" s="83">
        <f t="shared" si="34"/>
        <v>680.88383152173913</v>
      </c>
      <c r="AA85" s="83">
        <f t="shared" si="34"/>
        <v>680.59442934782601</v>
      </c>
      <c r="AB85" s="83">
        <f t="shared" si="34"/>
        <v>673.90896739130426</v>
      </c>
      <c r="AC85" s="83">
        <f t="shared" si="34"/>
        <v>669.56453804347825</v>
      </c>
      <c r="AD85" s="83">
        <f t="shared" si="34"/>
        <v>664.41304347826087</v>
      </c>
      <c r="AE85" s="83">
        <f t="shared" si="35"/>
        <v>683.00617074275351</v>
      </c>
      <c r="AF85" s="83"/>
      <c r="AH85" s="83"/>
      <c r="AI85" s="83"/>
      <c r="BB85" s="101">
        <f t="shared" si="36"/>
        <v>60323.104999999996</v>
      </c>
      <c r="BD85" s="112">
        <f t="shared" si="37"/>
        <v>7.39</v>
      </c>
      <c r="BE85" s="136">
        <f t="shared" si="38"/>
        <v>60568.987221467381</v>
      </c>
      <c r="BF85" s="137">
        <f t="shared" si="39"/>
        <v>245.88222146738553</v>
      </c>
      <c r="BG85" s="113">
        <f t="shared" si="40"/>
        <v>4.0760869565216436E-3</v>
      </c>
    </row>
    <row r="86" spans="1:59" s="62" customFormat="1" outlineLevel="1" x14ac:dyDescent="0.25">
      <c r="A86" s="62" t="str">
        <f t="shared" si="31"/>
        <v>MURREYSRESIDENTIALDRVNR-RECYCLE</v>
      </c>
      <c r="B86" s="81" t="s">
        <v>694</v>
      </c>
      <c r="C86" s="81" t="s">
        <v>695</v>
      </c>
      <c r="D86" s="82">
        <v>4.5999999999999996</v>
      </c>
      <c r="E86" s="82">
        <v>4.5999999999999996</v>
      </c>
      <c r="F86" s="83">
        <v>593.64</v>
      </c>
      <c r="G86" s="83">
        <v>574.66499999999996</v>
      </c>
      <c r="H86" s="83">
        <v>572.36500000000001</v>
      </c>
      <c r="I86" s="83">
        <v>568.33999999999992</v>
      </c>
      <c r="J86" s="83">
        <v>579.84</v>
      </c>
      <c r="K86" s="83">
        <v>562.58999999999992</v>
      </c>
      <c r="L86" s="83">
        <v>548.0200000000001</v>
      </c>
      <c r="M86" s="83">
        <v>531.13000000000011</v>
      </c>
      <c r="N86" s="83">
        <v>551.07000000000005</v>
      </c>
      <c r="O86" s="83">
        <v>555.68000000000006</v>
      </c>
      <c r="P86" s="83">
        <v>555.68000000000006</v>
      </c>
      <c r="Q86" s="83">
        <v>564.91000000000008</v>
      </c>
      <c r="R86" s="116">
        <f t="shared" si="32"/>
        <v>6757.93</v>
      </c>
      <c r="S86" s="83">
        <f t="shared" si="33"/>
        <v>129.05217391304348</v>
      </c>
      <c r="T86" s="83">
        <f t="shared" si="33"/>
        <v>124.92717391304348</v>
      </c>
      <c r="U86" s="83">
        <f t="shared" si="34"/>
        <v>124.42717391304349</v>
      </c>
      <c r="V86" s="83">
        <f t="shared" si="34"/>
        <v>123.55217391304348</v>
      </c>
      <c r="W86" s="83">
        <f t="shared" si="34"/>
        <v>126.05217391304349</v>
      </c>
      <c r="X86" s="83">
        <f t="shared" si="34"/>
        <v>122.30217391304348</v>
      </c>
      <c r="Y86" s="83">
        <f t="shared" si="34"/>
        <v>119.13478260869569</v>
      </c>
      <c r="Z86" s="83">
        <f t="shared" si="34"/>
        <v>115.4630434782609</v>
      </c>
      <c r="AA86" s="83">
        <f t="shared" si="34"/>
        <v>119.79782608695655</v>
      </c>
      <c r="AB86" s="83">
        <f t="shared" si="34"/>
        <v>120.80000000000003</v>
      </c>
      <c r="AC86" s="83">
        <f t="shared" si="34"/>
        <v>120.80000000000003</v>
      </c>
      <c r="AD86" s="83">
        <f t="shared" si="34"/>
        <v>122.80652173913046</v>
      </c>
      <c r="AE86" s="83">
        <f t="shared" si="35"/>
        <v>122.42626811594202</v>
      </c>
      <c r="AF86" s="83"/>
      <c r="AH86" s="83"/>
      <c r="AI86" s="83"/>
      <c r="BB86" s="101">
        <f t="shared" si="36"/>
        <v>6757.9299999999985</v>
      </c>
      <c r="BD86" s="112">
        <f t="shared" si="37"/>
        <v>4.62</v>
      </c>
      <c r="BE86" s="136">
        <f t="shared" si="38"/>
        <v>6787.3123043478263</v>
      </c>
      <c r="BF86" s="137">
        <f t="shared" si="39"/>
        <v>29.382304347827812</v>
      </c>
      <c r="BG86" s="113">
        <f t="shared" si="40"/>
        <v>4.3478260869567777E-3</v>
      </c>
    </row>
    <row r="87" spans="1:59" s="62" customFormat="1" outlineLevel="1" x14ac:dyDescent="0.25">
      <c r="A87" s="62" t="str">
        <f t="shared" si="31"/>
        <v>MURREYSRESIDENTIALPACKR-RECYCLE</v>
      </c>
      <c r="B87" s="81" t="s">
        <v>696</v>
      </c>
      <c r="C87" s="81" t="s">
        <v>697</v>
      </c>
      <c r="D87" s="82">
        <v>5.39</v>
      </c>
      <c r="E87" s="82">
        <v>5.39</v>
      </c>
      <c r="F87" s="83">
        <v>176.785</v>
      </c>
      <c r="G87" s="83">
        <v>174.3</v>
      </c>
      <c r="H87" s="83">
        <v>177</v>
      </c>
      <c r="I87" s="83">
        <v>178.38</v>
      </c>
      <c r="J87" s="83">
        <v>178.38</v>
      </c>
      <c r="K87" s="83">
        <v>226.73</v>
      </c>
      <c r="L87" s="83">
        <v>237.72</v>
      </c>
      <c r="M87" s="83">
        <v>243.39</v>
      </c>
      <c r="N87" s="83">
        <v>219.03500000000003</v>
      </c>
      <c r="O87" s="83">
        <v>210.92000000000002</v>
      </c>
      <c r="P87" s="83">
        <v>178.965</v>
      </c>
      <c r="Q87" s="83">
        <v>187.07999999999998</v>
      </c>
      <c r="R87" s="116">
        <f t="shared" si="32"/>
        <v>2388.6849999999999</v>
      </c>
      <c r="S87" s="83">
        <f t="shared" si="33"/>
        <v>32.798701298701303</v>
      </c>
      <c r="T87" s="83">
        <f t="shared" si="33"/>
        <v>32.337662337662344</v>
      </c>
      <c r="U87" s="83">
        <f t="shared" si="34"/>
        <v>32.838589981447129</v>
      </c>
      <c r="V87" s="83">
        <f t="shared" si="34"/>
        <v>33.094619666048239</v>
      </c>
      <c r="W87" s="83">
        <f t="shared" si="34"/>
        <v>33.094619666048239</v>
      </c>
      <c r="X87" s="83">
        <f t="shared" si="34"/>
        <v>42.064935064935064</v>
      </c>
      <c r="Y87" s="83">
        <f t="shared" si="34"/>
        <v>44.103896103896105</v>
      </c>
      <c r="Z87" s="83">
        <f t="shared" si="34"/>
        <v>45.155844155844157</v>
      </c>
      <c r="AA87" s="83">
        <f t="shared" si="34"/>
        <v>40.637291280148432</v>
      </c>
      <c r="AB87" s="83">
        <f t="shared" si="34"/>
        <v>39.131725417439711</v>
      </c>
      <c r="AC87" s="83">
        <f t="shared" si="34"/>
        <v>33.20315398886828</v>
      </c>
      <c r="AD87" s="83">
        <f t="shared" si="34"/>
        <v>34.708719851576994</v>
      </c>
      <c r="AE87" s="83">
        <f t="shared" si="35"/>
        <v>36.930813234384665</v>
      </c>
      <c r="AF87" s="83"/>
      <c r="AH87" s="83"/>
      <c r="AI87" s="83"/>
      <c r="BB87" s="101">
        <f t="shared" si="36"/>
        <v>2388.6849999999999</v>
      </c>
      <c r="BD87" s="112">
        <f t="shared" si="37"/>
        <v>5.42</v>
      </c>
      <c r="BE87" s="136">
        <f t="shared" si="38"/>
        <v>2401.9800927643787</v>
      </c>
      <c r="BF87" s="137">
        <f t="shared" si="39"/>
        <v>13.295092764378751</v>
      </c>
      <c r="BG87" s="113">
        <f t="shared" si="40"/>
        <v>5.5658627087199659E-3</v>
      </c>
    </row>
    <row r="88" spans="1:59" s="62" customFormat="1" outlineLevel="1" x14ac:dyDescent="0.25">
      <c r="A88" s="62" t="str">
        <f t="shared" si="31"/>
        <v>MURREYSRESIDENTIALPACKR-RECYADL</v>
      </c>
      <c r="B88" s="81" t="s">
        <v>698</v>
      </c>
      <c r="C88" s="81" t="s">
        <v>699</v>
      </c>
      <c r="D88" s="82">
        <v>1.17</v>
      </c>
      <c r="E88" s="82">
        <v>1.17</v>
      </c>
      <c r="F88" s="83">
        <v>2.34</v>
      </c>
      <c r="G88" s="83">
        <v>2.34</v>
      </c>
      <c r="H88" s="83">
        <v>2.34</v>
      </c>
      <c r="I88" s="83">
        <v>12.475</v>
      </c>
      <c r="J88" s="83">
        <v>12.475</v>
      </c>
      <c r="K88" s="83">
        <v>14.68</v>
      </c>
      <c r="L88" s="83">
        <v>14.68</v>
      </c>
      <c r="M88" s="83">
        <v>14.68</v>
      </c>
      <c r="N88" s="83">
        <v>17.335000000000001</v>
      </c>
      <c r="O88" s="83">
        <v>17.335000000000001</v>
      </c>
      <c r="P88" s="83">
        <v>14.68</v>
      </c>
      <c r="Q88" s="83">
        <v>14.68</v>
      </c>
      <c r="R88" s="116">
        <f t="shared" si="32"/>
        <v>140.04000000000002</v>
      </c>
      <c r="S88" s="83">
        <f t="shared" si="33"/>
        <v>2</v>
      </c>
      <c r="T88" s="83">
        <f t="shared" si="33"/>
        <v>2</v>
      </c>
      <c r="U88" s="83">
        <f t="shared" si="34"/>
        <v>2</v>
      </c>
      <c r="V88" s="83">
        <f t="shared" si="34"/>
        <v>10.662393162393164</v>
      </c>
      <c r="W88" s="83">
        <f t="shared" si="34"/>
        <v>10.662393162393164</v>
      </c>
      <c r="X88" s="83">
        <f t="shared" si="34"/>
        <v>12.547008547008547</v>
      </c>
      <c r="Y88" s="83">
        <f t="shared" si="34"/>
        <v>12.547008547008547</v>
      </c>
      <c r="Z88" s="83">
        <f t="shared" si="34"/>
        <v>12.547008547008547</v>
      </c>
      <c r="AA88" s="83">
        <f t="shared" si="34"/>
        <v>14.816239316239319</v>
      </c>
      <c r="AB88" s="83">
        <f t="shared" si="34"/>
        <v>14.816239316239319</v>
      </c>
      <c r="AC88" s="83">
        <f t="shared" si="34"/>
        <v>12.547008547008547</v>
      </c>
      <c r="AD88" s="83">
        <f t="shared" si="34"/>
        <v>12.547008547008547</v>
      </c>
      <c r="AE88" s="83">
        <f t="shared" si="35"/>
        <v>9.9743589743589745</v>
      </c>
      <c r="AF88" s="83"/>
      <c r="AH88" s="83"/>
      <c r="AI88" s="83"/>
      <c r="BB88" s="101">
        <f t="shared" si="36"/>
        <v>140.04</v>
      </c>
      <c r="BD88" s="112">
        <f t="shared" si="37"/>
        <v>1.18</v>
      </c>
      <c r="BE88" s="136">
        <f t="shared" si="38"/>
        <v>141.23692307692306</v>
      </c>
      <c r="BF88" s="137">
        <f t="shared" si="39"/>
        <v>1.1969230769230705</v>
      </c>
      <c r="BG88" s="113">
        <f t="shared" si="40"/>
        <v>8.5470085470085028E-3</v>
      </c>
    </row>
    <row r="89" spans="1:59" s="62" customFormat="1" outlineLevel="1" x14ac:dyDescent="0.25">
      <c r="A89" s="62" t="str">
        <f t="shared" si="31"/>
        <v>MURREYSRESIDENTIALTOTERDEL</v>
      </c>
      <c r="B89" s="81" t="s">
        <v>700</v>
      </c>
      <c r="C89" s="81" t="s">
        <v>701</v>
      </c>
      <c r="D89" s="82">
        <v>0</v>
      </c>
      <c r="E89" s="82">
        <v>0</v>
      </c>
      <c r="F89" s="83">
        <v>0</v>
      </c>
      <c r="G89" s="83">
        <v>0</v>
      </c>
      <c r="H89" s="83">
        <v>0</v>
      </c>
      <c r="I89" s="83">
        <v>0</v>
      </c>
      <c r="J89" s="83">
        <v>0</v>
      </c>
      <c r="K89" s="83">
        <v>0</v>
      </c>
      <c r="L89" s="83">
        <v>0</v>
      </c>
      <c r="M89" s="83">
        <v>0</v>
      </c>
      <c r="N89" s="83">
        <v>0</v>
      </c>
      <c r="O89" s="83">
        <v>0</v>
      </c>
      <c r="P89" s="83">
        <v>0</v>
      </c>
      <c r="Q89" s="83">
        <v>0</v>
      </c>
      <c r="R89" s="116">
        <f t="shared" si="32"/>
        <v>0</v>
      </c>
      <c r="S89" s="83">
        <f t="shared" si="33"/>
        <v>0</v>
      </c>
      <c r="T89" s="83">
        <f t="shared" si="33"/>
        <v>0</v>
      </c>
      <c r="U89" s="83">
        <f t="shared" si="34"/>
        <v>0</v>
      </c>
      <c r="V89" s="83">
        <f t="shared" si="34"/>
        <v>0</v>
      </c>
      <c r="W89" s="83">
        <f t="shared" si="34"/>
        <v>0</v>
      </c>
      <c r="X89" s="83">
        <f t="shared" si="34"/>
        <v>0</v>
      </c>
      <c r="Y89" s="83">
        <f t="shared" si="34"/>
        <v>0</v>
      </c>
      <c r="Z89" s="83">
        <f t="shared" si="34"/>
        <v>0</v>
      </c>
      <c r="AA89" s="83">
        <f t="shared" si="34"/>
        <v>0</v>
      </c>
      <c r="AB89" s="83">
        <f t="shared" si="34"/>
        <v>0</v>
      </c>
      <c r="AC89" s="83">
        <f t="shared" si="34"/>
        <v>0</v>
      </c>
      <c r="AD89" s="83">
        <f t="shared" si="34"/>
        <v>0</v>
      </c>
      <c r="AE89" s="83">
        <f t="shared" si="35"/>
        <v>0</v>
      </c>
      <c r="AF89" s="83"/>
      <c r="AH89" s="83"/>
      <c r="AI89" s="83"/>
      <c r="BB89" s="101">
        <f t="shared" si="36"/>
        <v>0</v>
      </c>
      <c r="BD89" s="112">
        <f t="shared" si="37"/>
        <v>0</v>
      </c>
      <c r="BE89" s="136">
        <f t="shared" si="38"/>
        <v>0</v>
      </c>
      <c r="BF89" s="137">
        <f t="shared" si="39"/>
        <v>0</v>
      </c>
      <c r="BG89" s="113">
        <f t="shared" si="40"/>
        <v>0</v>
      </c>
    </row>
    <row r="90" spans="1:59" s="62" customFormat="1" outlineLevel="1" x14ac:dyDescent="0.25">
      <c r="A90" s="62" t="str">
        <f t="shared" si="31"/>
        <v>MURREYSRESIDENTIALRECYDEL</v>
      </c>
      <c r="B90" s="81" t="s">
        <v>702</v>
      </c>
      <c r="C90" s="81" t="s">
        <v>701</v>
      </c>
      <c r="D90" s="82">
        <v>22.47</v>
      </c>
      <c r="E90" s="82">
        <v>22.47</v>
      </c>
      <c r="F90" s="83">
        <v>22.47</v>
      </c>
      <c r="G90" s="83">
        <v>22.47</v>
      </c>
      <c r="H90" s="83">
        <v>44.94</v>
      </c>
      <c r="I90" s="83">
        <v>0</v>
      </c>
      <c r="J90" s="83">
        <v>33.704999999999998</v>
      </c>
      <c r="K90" s="83">
        <v>78.644999999999996</v>
      </c>
      <c r="L90" s="83">
        <v>33.704999999999998</v>
      </c>
      <c r="M90" s="83">
        <v>-56.174999999999997</v>
      </c>
      <c r="N90" s="83">
        <v>-22.47</v>
      </c>
      <c r="O90" s="83">
        <v>0</v>
      </c>
      <c r="P90" s="83">
        <v>0</v>
      </c>
      <c r="Q90" s="83">
        <v>22.53</v>
      </c>
      <c r="R90" s="116">
        <f t="shared" si="32"/>
        <v>179.82</v>
      </c>
      <c r="S90" s="83">
        <f t="shared" si="33"/>
        <v>1</v>
      </c>
      <c r="T90" s="83">
        <f t="shared" si="33"/>
        <v>1</v>
      </c>
      <c r="U90" s="83">
        <f t="shared" si="34"/>
        <v>2</v>
      </c>
      <c r="V90" s="83">
        <f t="shared" si="34"/>
        <v>0</v>
      </c>
      <c r="W90" s="83">
        <f t="shared" si="34"/>
        <v>1.5</v>
      </c>
      <c r="X90" s="83">
        <f t="shared" si="34"/>
        <v>3.5</v>
      </c>
      <c r="Y90" s="83">
        <f t="shared" si="34"/>
        <v>1.5</v>
      </c>
      <c r="Z90" s="83">
        <f t="shared" si="34"/>
        <v>-2.5</v>
      </c>
      <c r="AA90" s="83">
        <f t="shared" si="34"/>
        <v>-1</v>
      </c>
      <c r="AB90" s="83">
        <f t="shared" si="34"/>
        <v>0</v>
      </c>
      <c r="AC90" s="83">
        <f t="shared" si="34"/>
        <v>0</v>
      </c>
      <c r="AD90" s="83">
        <f t="shared" si="34"/>
        <v>1.0026702269692924</v>
      </c>
      <c r="AE90" s="83">
        <f t="shared" si="35"/>
        <v>0.66688918558077448</v>
      </c>
      <c r="AF90" s="83"/>
      <c r="AH90" s="83"/>
      <c r="AI90" s="83"/>
      <c r="BB90" s="101">
        <f t="shared" si="36"/>
        <v>179.82000000000002</v>
      </c>
      <c r="BD90" s="112">
        <f t="shared" si="37"/>
        <v>22.58</v>
      </c>
      <c r="BE90" s="136">
        <f t="shared" si="38"/>
        <v>180.70029372496663</v>
      </c>
      <c r="BF90" s="137">
        <f t="shared" si="39"/>
        <v>0.88029372496660585</v>
      </c>
      <c r="BG90" s="113">
        <f t="shared" si="40"/>
        <v>4.8954161103692898E-3</v>
      </c>
    </row>
    <row r="91" spans="1:59" s="62" customFormat="1" outlineLevel="1" x14ac:dyDescent="0.25">
      <c r="B91" s="81"/>
      <c r="C91" s="81"/>
      <c r="D91" s="82"/>
      <c r="E91" s="82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116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H91" s="83"/>
      <c r="AI91" s="83"/>
      <c r="BB91" s="101"/>
    </row>
    <row r="92" spans="1:59" s="62" customFormat="1" outlineLevel="1" x14ac:dyDescent="0.25">
      <c r="B92" s="81"/>
      <c r="C92" s="81"/>
      <c r="D92" s="82"/>
      <c r="E92" s="82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116">
        <f t="shared" si="32"/>
        <v>0</v>
      </c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H92" s="83"/>
      <c r="AI92" s="83"/>
      <c r="BB92" s="101"/>
    </row>
    <row r="93" spans="1:59" s="62" customFormat="1" outlineLevel="1" x14ac:dyDescent="0.25">
      <c r="B93" s="81"/>
      <c r="C93" s="85" t="s">
        <v>703</v>
      </c>
      <c r="D93" s="82"/>
      <c r="E93" s="82"/>
      <c r="F93" s="86">
        <f t="shared" ref="F93:R93" si="41">SUM(F82:F92)</f>
        <v>439932.04999999993</v>
      </c>
      <c r="G93" s="86">
        <f t="shared" si="41"/>
        <v>440226.23</v>
      </c>
      <c r="H93" s="86">
        <f t="shared" si="41"/>
        <v>444030.98</v>
      </c>
      <c r="I93" s="86">
        <f t="shared" si="41"/>
        <v>445621.50500000006</v>
      </c>
      <c r="J93" s="86">
        <f t="shared" si="41"/>
        <v>445454.13000000006</v>
      </c>
      <c r="K93" s="86">
        <f t="shared" si="41"/>
        <v>450390.61499999999</v>
      </c>
      <c r="L93" s="86">
        <f t="shared" si="41"/>
        <v>451975.36000000004</v>
      </c>
      <c r="M93" s="86">
        <f t="shared" si="41"/>
        <v>454042.99499999994</v>
      </c>
      <c r="N93" s="86">
        <f t="shared" si="41"/>
        <v>455653.22499999998</v>
      </c>
      <c r="O93" s="86">
        <f t="shared" si="41"/>
        <v>456890.46</v>
      </c>
      <c r="P93" s="86">
        <f t="shared" si="41"/>
        <v>457093.11</v>
      </c>
      <c r="Q93" s="86">
        <f t="shared" si="41"/>
        <v>458761.125</v>
      </c>
      <c r="R93" s="86">
        <f t="shared" si="41"/>
        <v>5400071.7850000011</v>
      </c>
      <c r="S93" s="86">
        <f t="shared" ref="S93:AE93" si="42">SUM(S82:S85)</f>
        <v>59541.828124999985</v>
      </c>
      <c r="T93" s="86">
        <f t="shared" si="42"/>
        <v>59584.213994565216</v>
      </c>
      <c r="U93" s="86">
        <f t="shared" si="42"/>
        <v>60097.931385869553</v>
      </c>
      <c r="V93" s="86">
        <f t="shared" si="42"/>
        <v>60319.354166666672</v>
      </c>
      <c r="W93" s="86">
        <f t="shared" si="42"/>
        <v>60293.49048913044</v>
      </c>
      <c r="X93" s="86">
        <f t="shared" si="42"/>
        <v>60953.952445652169</v>
      </c>
      <c r="Y93" s="86">
        <f t="shared" si="42"/>
        <v>61176.536005434784</v>
      </c>
      <c r="Z93" s="86">
        <f t="shared" si="42"/>
        <v>61478.507246376801</v>
      </c>
      <c r="AA93" s="86">
        <f t="shared" si="42"/>
        <v>61689.028306159402</v>
      </c>
      <c r="AB93" s="86">
        <f t="shared" si="42"/>
        <v>61854.053215579712</v>
      </c>
      <c r="AC93" s="86">
        <f t="shared" si="42"/>
        <v>61887.041666666664</v>
      </c>
      <c r="AD93" s="86">
        <f t="shared" si="42"/>
        <v>62110.011322463768</v>
      </c>
      <c r="AE93" s="86">
        <f t="shared" si="42"/>
        <v>60915.495697463753</v>
      </c>
      <c r="AF93" s="87"/>
      <c r="AH93" s="83"/>
      <c r="AI93" s="83"/>
      <c r="BB93" s="118">
        <f>SUM(BB82:BB92)</f>
        <v>5400071.7850000001</v>
      </c>
      <c r="BE93" s="118">
        <f t="shared" ref="BE93:BF93" si="43">SUM(BE82:BE92)</f>
        <v>5422103.4481193479</v>
      </c>
      <c r="BF93" s="118">
        <f t="shared" si="43"/>
        <v>22031.663119347526</v>
      </c>
      <c r="BG93" s="113">
        <f t="shared" ref="BG93" si="44">IFERROR(+BF93/BB93,0)</f>
        <v>4.0798833786887378E-3</v>
      </c>
    </row>
    <row r="94" spans="1:59" s="62" customFormat="1" outlineLevel="1" x14ac:dyDescent="0.25">
      <c r="B94" s="81"/>
      <c r="C94" s="85"/>
      <c r="D94" s="82"/>
      <c r="E94" s="82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>
        <f>6726*12</f>
        <v>80712</v>
      </c>
      <c r="R94" s="117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H94" s="83"/>
      <c r="AI94" s="83"/>
      <c r="BB94" s="101"/>
    </row>
    <row r="95" spans="1:59" s="62" customFormat="1" outlineLevel="1" x14ac:dyDescent="0.25">
      <c r="B95" s="88" t="s">
        <v>704</v>
      </c>
      <c r="C95" s="81"/>
      <c r="D95" s="82"/>
      <c r="E95" s="82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117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H95" s="83"/>
      <c r="AI95" s="83"/>
      <c r="BB95" s="101"/>
    </row>
    <row r="96" spans="1:59" s="62" customFormat="1" outlineLevel="1" x14ac:dyDescent="0.25">
      <c r="A96" s="62" t="str">
        <f t="shared" ref="A96:A104" si="45">+$A$4&amp;$A$9&amp;B96</f>
        <v>MURREYSRESIDENTIALYDW90</v>
      </c>
      <c r="B96" s="81" t="s">
        <v>705</v>
      </c>
      <c r="C96" s="81" t="s">
        <v>706</v>
      </c>
      <c r="D96" s="82">
        <v>6.18</v>
      </c>
      <c r="E96" s="82">
        <v>6.18</v>
      </c>
      <c r="F96" s="83">
        <v>208849.77000000005</v>
      </c>
      <c r="G96" s="83">
        <v>208714.67499999999</v>
      </c>
      <c r="H96" s="83">
        <v>210692.06499999997</v>
      </c>
      <c r="I96" s="83">
        <v>213018.80499999999</v>
      </c>
      <c r="J96" s="83">
        <v>214942.01499999998</v>
      </c>
      <c r="K96" s="83">
        <v>220394.33</v>
      </c>
      <c r="L96" s="83">
        <v>222268.83</v>
      </c>
      <c r="M96" s="83">
        <v>223930.8</v>
      </c>
      <c r="N96" s="83">
        <v>224687.94000000003</v>
      </c>
      <c r="O96" s="83">
        <v>225782.05499999999</v>
      </c>
      <c r="P96" s="83">
        <v>225686.815</v>
      </c>
      <c r="Q96" s="83">
        <v>225648.19499999998</v>
      </c>
      <c r="R96" s="116">
        <f t="shared" ref="R96:R104" si="46">+SUM(F96:Q96)</f>
        <v>2624616.2949999999</v>
      </c>
      <c r="S96" s="83">
        <f t="shared" ref="S96:T104" si="47">+IFERROR(F96/$D96,0)</f>
        <v>33794.461165048553</v>
      </c>
      <c r="T96" s="83">
        <f t="shared" si="47"/>
        <v>33772.601132686083</v>
      </c>
      <c r="U96" s="83">
        <f t="shared" ref="U96:AD105" si="48">+IFERROR(H96/$E96,0)</f>
        <v>34092.567152103555</v>
      </c>
      <c r="V96" s="83">
        <f t="shared" si="48"/>
        <v>34469.062297734628</v>
      </c>
      <c r="W96" s="83">
        <f t="shared" si="48"/>
        <v>34780.26132686084</v>
      </c>
      <c r="X96" s="83">
        <f t="shared" si="48"/>
        <v>35662.51294498382</v>
      </c>
      <c r="Y96" s="83">
        <f t="shared" si="48"/>
        <v>35965.830097087375</v>
      </c>
      <c r="Z96" s="83">
        <f t="shared" si="48"/>
        <v>36234.7572815534</v>
      </c>
      <c r="AA96" s="83">
        <f t="shared" si="48"/>
        <v>36357.271844660201</v>
      </c>
      <c r="AB96" s="83">
        <f t="shared" si="48"/>
        <v>36534.313106796115</v>
      </c>
      <c r="AC96" s="83">
        <f t="shared" si="48"/>
        <v>36518.902103559871</v>
      </c>
      <c r="AD96" s="83">
        <f t="shared" si="48"/>
        <v>36512.652912621357</v>
      </c>
      <c r="AE96" s="83">
        <f t="shared" ref="AE96:AE104" si="49">+SUM(S96:AD96)/$AB$2</f>
        <v>35391.266113807978</v>
      </c>
      <c r="AF96" s="83"/>
      <c r="AH96" s="83"/>
      <c r="AI96" s="83"/>
      <c r="BB96" s="101">
        <f t="shared" ref="BB96:BB159" si="50">+AE96*E96*12</f>
        <v>2624616.2949999995</v>
      </c>
      <c r="BD96" s="112">
        <f t="shared" ref="BD96:BD105" si="51">ROUND(E96*(1+$BF$4),2)</f>
        <v>6.21</v>
      </c>
      <c r="BE96" s="136">
        <f t="shared" ref="BE96:BE105" si="52">BD96*AE96*12</f>
        <v>2637357.1508009704</v>
      </c>
      <c r="BF96" s="137">
        <f t="shared" ref="BF96:BF105" si="53">+BE96-BB96</f>
        <v>12740.855800970923</v>
      </c>
      <c r="BG96" s="113">
        <f t="shared" ref="BG96:BG105" si="54">IFERROR(+BF96/BB96,0)</f>
        <v>4.8543689320388545E-3</v>
      </c>
    </row>
    <row r="97" spans="1:59" s="62" customFormat="1" outlineLevel="1" x14ac:dyDescent="0.25">
      <c r="A97" s="62" t="str">
        <f t="shared" si="45"/>
        <v>MURREYSRESIDENTIALYDW65</v>
      </c>
      <c r="B97" s="81" t="s">
        <v>707</v>
      </c>
      <c r="C97" s="81" t="s">
        <v>708</v>
      </c>
      <c r="D97" s="82">
        <v>0</v>
      </c>
      <c r="E97" s="82">
        <v>0</v>
      </c>
      <c r="F97" s="83">
        <v>0</v>
      </c>
      <c r="G97" s="83">
        <v>0</v>
      </c>
      <c r="H97" s="83">
        <v>0</v>
      </c>
      <c r="I97" s="83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83">
        <v>0</v>
      </c>
      <c r="R97" s="116">
        <f t="shared" si="46"/>
        <v>0</v>
      </c>
      <c r="S97" s="83">
        <f t="shared" si="47"/>
        <v>0</v>
      </c>
      <c r="T97" s="83">
        <f t="shared" si="47"/>
        <v>0</v>
      </c>
      <c r="U97" s="83">
        <f t="shared" si="48"/>
        <v>0</v>
      </c>
      <c r="V97" s="83">
        <f t="shared" si="48"/>
        <v>0</v>
      </c>
      <c r="W97" s="83">
        <f t="shared" si="48"/>
        <v>0</v>
      </c>
      <c r="X97" s="83">
        <f t="shared" si="48"/>
        <v>0</v>
      </c>
      <c r="Y97" s="83">
        <f t="shared" si="48"/>
        <v>0</v>
      </c>
      <c r="Z97" s="83">
        <f t="shared" si="48"/>
        <v>0</v>
      </c>
      <c r="AA97" s="83">
        <f t="shared" si="48"/>
        <v>0</v>
      </c>
      <c r="AB97" s="83">
        <f t="shared" si="48"/>
        <v>0</v>
      </c>
      <c r="AC97" s="83">
        <f t="shared" si="48"/>
        <v>0</v>
      </c>
      <c r="AD97" s="83">
        <f t="shared" si="48"/>
        <v>0</v>
      </c>
      <c r="AE97" s="83">
        <f t="shared" si="49"/>
        <v>0</v>
      </c>
      <c r="AF97" s="83"/>
      <c r="AH97" s="83"/>
      <c r="AI97" s="83"/>
      <c r="BB97" s="101">
        <f t="shared" si="50"/>
        <v>0</v>
      </c>
      <c r="BD97" s="112">
        <f t="shared" si="51"/>
        <v>0</v>
      </c>
      <c r="BE97" s="136">
        <f t="shared" si="52"/>
        <v>0</v>
      </c>
      <c r="BF97" s="137">
        <f t="shared" si="53"/>
        <v>0</v>
      </c>
      <c r="BG97" s="113">
        <f t="shared" si="54"/>
        <v>0</v>
      </c>
    </row>
    <row r="98" spans="1:59" s="62" customFormat="1" outlineLevel="1" x14ac:dyDescent="0.25">
      <c r="A98" s="62" t="str">
        <f t="shared" si="45"/>
        <v>MURREYSRESIDENTIALYDW90SNR</v>
      </c>
      <c r="B98" s="81" t="s">
        <v>709</v>
      </c>
      <c r="C98" s="81" t="s">
        <v>710</v>
      </c>
      <c r="D98" s="82">
        <v>0</v>
      </c>
      <c r="E98" s="82">
        <v>0</v>
      </c>
      <c r="F98" s="83">
        <v>0</v>
      </c>
      <c r="G98" s="83">
        <v>0</v>
      </c>
      <c r="H98" s="83">
        <v>0</v>
      </c>
      <c r="I98" s="83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83">
        <v>0</v>
      </c>
      <c r="R98" s="116">
        <f t="shared" si="46"/>
        <v>0</v>
      </c>
      <c r="S98" s="83">
        <f t="shared" si="47"/>
        <v>0</v>
      </c>
      <c r="T98" s="83">
        <f t="shared" si="47"/>
        <v>0</v>
      </c>
      <c r="U98" s="83">
        <f t="shared" si="48"/>
        <v>0</v>
      </c>
      <c r="V98" s="83">
        <f t="shared" si="48"/>
        <v>0</v>
      </c>
      <c r="W98" s="83">
        <f t="shared" si="48"/>
        <v>0</v>
      </c>
      <c r="X98" s="83">
        <f t="shared" si="48"/>
        <v>0</v>
      </c>
      <c r="Y98" s="83">
        <f t="shared" si="48"/>
        <v>0</v>
      </c>
      <c r="Z98" s="83">
        <f t="shared" si="48"/>
        <v>0</v>
      </c>
      <c r="AA98" s="83">
        <f t="shared" si="48"/>
        <v>0</v>
      </c>
      <c r="AB98" s="83">
        <f t="shared" si="48"/>
        <v>0</v>
      </c>
      <c r="AC98" s="83">
        <f t="shared" si="48"/>
        <v>0</v>
      </c>
      <c r="AD98" s="83">
        <f t="shared" si="48"/>
        <v>0</v>
      </c>
      <c r="AE98" s="83">
        <f t="shared" si="49"/>
        <v>0</v>
      </c>
      <c r="AF98" s="83"/>
      <c r="AH98" s="83"/>
      <c r="AI98" s="83"/>
      <c r="BB98" s="101">
        <f t="shared" si="50"/>
        <v>0</v>
      </c>
      <c r="BD98" s="112">
        <f t="shared" si="51"/>
        <v>0</v>
      </c>
      <c r="BE98" s="136">
        <f t="shared" si="52"/>
        <v>0</v>
      </c>
      <c r="BF98" s="137">
        <f t="shared" si="53"/>
        <v>0</v>
      </c>
      <c r="BG98" s="113">
        <f t="shared" si="54"/>
        <v>0</v>
      </c>
    </row>
    <row r="99" spans="1:59" s="62" customFormat="1" outlineLevel="1" x14ac:dyDescent="0.25">
      <c r="A99" s="62" t="str">
        <f t="shared" si="45"/>
        <v>MURREYSRESIDENTIALYDWDEL</v>
      </c>
      <c r="B99" s="81" t="s">
        <v>711</v>
      </c>
      <c r="C99" s="81" t="s">
        <v>712</v>
      </c>
      <c r="D99" s="82">
        <v>22.47</v>
      </c>
      <c r="E99" s="82">
        <v>22.47</v>
      </c>
      <c r="F99" s="83">
        <v>44.94</v>
      </c>
      <c r="G99" s="83">
        <v>22.47</v>
      </c>
      <c r="H99" s="83">
        <v>179.76</v>
      </c>
      <c r="I99" s="83">
        <v>337.05</v>
      </c>
      <c r="J99" s="83">
        <v>269.64</v>
      </c>
      <c r="K99" s="83">
        <v>202.23</v>
      </c>
      <c r="L99" s="83">
        <v>22.47</v>
      </c>
      <c r="M99" s="83">
        <v>45</v>
      </c>
      <c r="N99" s="83">
        <v>0</v>
      </c>
      <c r="O99" s="83">
        <v>0</v>
      </c>
      <c r="P99" s="83">
        <v>22.53</v>
      </c>
      <c r="Q99" s="83">
        <v>22.53</v>
      </c>
      <c r="R99" s="116">
        <f t="shared" si="46"/>
        <v>1168.6199999999999</v>
      </c>
      <c r="S99" s="83">
        <f t="shared" si="47"/>
        <v>2</v>
      </c>
      <c r="T99" s="83">
        <f t="shared" si="47"/>
        <v>1</v>
      </c>
      <c r="U99" s="83">
        <f t="shared" si="48"/>
        <v>8</v>
      </c>
      <c r="V99" s="83">
        <f t="shared" si="48"/>
        <v>15.000000000000002</v>
      </c>
      <c r="W99" s="83">
        <f t="shared" si="48"/>
        <v>12</v>
      </c>
      <c r="X99" s="83">
        <f t="shared" si="48"/>
        <v>9</v>
      </c>
      <c r="Y99" s="83">
        <f t="shared" si="48"/>
        <v>1</v>
      </c>
      <c r="Z99" s="83">
        <f t="shared" si="48"/>
        <v>2.0026702269692924</v>
      </c>
      <c r="AA99" s="83">
        <f t="shared" si="48"/>
        <v>0</v>
      </c>
      <c r="AB99" s="83">
        <f t="shared" si="48"/>
        <v>0</v>
      </c>
      <c r="AC99" s="83">
        <f t="shared" si="48"/>
        <v>1.0026702269692924</v>
      </c>
      <c r="AD99" s="83">
        <f t="shared" si="48"/>
        <v>1.0026702269692924</v>
      </c>
      <c r="AE99" s="83">
        <f t="shared" si="49"/>
        <v>4.3340008900756564</v>
      </c>
      <c r="AF99" s="83"/>
      <c r="AH99" s="83"/>
      <c r="AI99" s="83"/>
      <c r="BB99" s="101">
        <f t="shared" si="50"/>
        <v>1168.6199999999999</v>
      </c>
      <c r="BD99" s="112">
        <f t="shared" si="51"/>
        <v>22.58</v>
      </c>
      <c r="BE99" s="136">
        <f t="shared" si="52"/>
        <v>1174.3408811748998</v>
      </c>
      <c r="BF99" s="137">
        <f t="shared" si="53"/>
        <v>5.7208811748998869</v>
      </c>
      <c r="BG99" s="113">
        <f t="shared" si="54"/>
        <v>4.895416110369399E-3</v>
      </c>
    </row>
    <row r="100" spans="1:59" s="62" customFormat="1" outlineLevel="1" x14ac:dyDescent="0.25">
      <c r="A100" s="62" t="str">
        <f t="shared" si="45"/>
        <v>MURREYSRESIDENTIALYDWEX</v>
      </c>
      <c r="B100" s="81" t="s">
        <v>713</v>
      </c>
      <c r="C100" s="81" t="s">
        <v>714</v>
      </c>
      <c r="D100" s="82">
        <v>1.99</v>
      </c>
      <c r="E100" s="82">
        <v>1.99</v>
      </c>
      <c r="F100" s="83">
        <v>33.83</v>
      </c>
      <c r="G100" s="83">
        <v>145.26999999999998</v>
      </c>
      <c r="H100" s="83">
        <v>159.19999999999999</v>
      </c>
      <c r="I100" s="83">
        <v>604.96</v>
      </c>
      <c r="J100" s="83">
        <v>1026.8400000000001</v>
      </c>
      <c r="K100" s="83">
        <v>879.58</v>
      </c>
      <c r="L100" s="83">
        <v>529.33999999999992</v>
      </c>
      <c r="M100" s="83">
        <v>264.08000000000004</v>
      </c>
      <c r="N100" s="83">
        <v>708</v>
      </c>
      <c r="O100" s="83">
        <v>408</v>
      </c>
      <c r="P100" s="83">
        <v>348.03</v>
      </c>
      <c r="Q100" s="83">
        <v>234</v>
      </c>
      <c r="R100" s="116">
        <f t="shared" si="46"/>
        <v>5341.13</v>
      </c>
      <c r="S100" s="83">
        <f t="shared" si="47"/>
        <v>17</v>
      </c>
      <c r="T100" s="83">
        <f t="shared" si="47"/>
        <v>72.999999999999986</v>
      </c>
      <c r="U100" s="83">
        <f t="shared" si="48"/>
        <v>80</v>
      </c>
      <c r="V100" s="83">
        <f t="shared" si="48"/>
        <v>304</v>
      </c>
      <c r="W100" s="83">
        <f t="shared" si="48"/>
        <v>516.00000000000011</v>
      </c>
      <c r="X100" s="83">
        <f t="shared" si="48"/>
        <v>442</v>
      </c>
      <c r="Y100" s="83">
        <f t="shared" si="48"/>
        <v>265.99999999999994</v>
      </c>
      <c r="Z100" s="83">
        <f t="shared" si="48"/>
        <v>132.70351758793973</v>
      </c>
      <c r="AA100" s="83">
        <f t="shared" si="48"/>
        <v>355.7788944723618</v>
      </c>
      <c r="AB100" s="83">
        <f t="shared" si="48"/>
        <v>205.0251256281407</v>
      </c>
      <c r="AC100" s="83">
        <f t="shared" si="48"/>
        <v>174.8894472361809</v>
      </c>
      <c r="AD100" s="83">
        <f t="shared" si="48"/>
        <v>117.58793969849246</v>
      </c>
      <c r="AE100" s="83">
        <f t="shared" si="49"/>
        <v>223.66541038525963</v>
      </c>
      <c r="AF100" s="83"/>
      <c r="AH100" s="83"/>
      <c r="AI100" s="83"/>
      <c r="BB100" s="101">
        <f t="shared" si="50"/>
        <v>5341.13</v>
      </c>
      <c r="BD100" s="112">
        <f t="shared" si="51"/>
        <v>2</v>
      </c>
      <c r="BE100" s="136">
        <f t="shared" si="52"/>
        <v>5367.9698492462312</v>
      </c>
      <c r="BF100" s="137">
        <f t="shared" si="53"/>
        <v>26.839849246231097</v>
      </c>
      <c r="BG100" s="113">
        <f t="shared" si="54"/>
        <v>5.0251256281406923E-3</v>
      </c>
    </row>
    <row r="101" spans="1:59" s="62" customFormat="1" outlineLevel="1" x14ac:dyDescent="0.25">
      <c r="A101" s="62" t="str">
        <f t="shared" si="45"/>
        <v>MURREYSRESIDENTIALDRVNR-YARDWASTE</v>
      </c>
      <c r="B101" s="81" t="s">
        <v>715</v>
      </c>
      <c r="C101" s="81" t="s">
        <v>716</v>
      </c>
      <c r="D101" s="82">
        <v>4.3</v>
      </c>
      <c r="E101" s="82">
        <v>4.3</v>
      </c>
      <c r="F101" s="83">
        <v>106.425</v>
      </c>
      <c r="G101" s="83">
        <v>107.5</v>
      </c>
      <c r="H101" s="83">
        <v>107.5</v>
      </c>
      <c r="I101" s="83">
        <v>99.974999999999994</v>
      </c>
      <c r="J101" s="83">
        <v>108.575</v>
      </c>
      <c r="K101" s="83">
        <v>107.5</v>
      </c>
      <c r="L101" s="83">
        <v>107.54999999999998</v>
      </c>
      <c r="M101" s="83">
        <v>107.69999999999999</v>
      </c>
      <c r="N101" s="83">
        <v>107.75</v>
      </c>
      <c r="O101" s="83">
        <v>107.75</v>
      </c>
      <c r="P101" s="83">
        <v>105.595</v>
      </c>
      <c r="Q101" s="83">
        <v>109.905</v>
      </c>
      <c r="R101" s="116">
        <f t="shared" si="46"/>
        <v>1283.7249999999999</v>
      </c>
      <c r="S101" s="83">
        <f t="shared" si="47"/>
        <v>24.75</v>
      </c>
      <c r="T101" s="83">
        <f t="shared" si="47"/>
        <v>25</v>
      </c>
      <c r="U101" s="83">
        <f t="shared" si="48"/>
        <v>25</v>
      </c>
      <c r="V101" s="83">
        <f t="shared" si="48"/>
        <v>23.25</v>
      </c>
      <c r="W101" s="83">
        <f t="shared" si="48"/>
        <v>25.25</v>
      </c>
      <c r="X101" s="83">
        <f t="shared" si="48"/>
        <v>25</v>
      </c>
      <c r="Y101" s="83">
        <f t="shared" si="48"/>
        <v>25.011627906976742</v>
      </c>
      <c r="Z101" s="83">
        <f t="shared" si="48"/>
        <v>25.046511627906977</v>
      </c>
      <c r="AA101" s="83">
        <f t="shared" si="48"/>
        <v>25.058139534883722</v>
      </c>
      <c r="AB101" s="83">
        <f t="shared" si="48"/>
        <v>25.058139534883722</v>
      </c>
      <c r="AC101" s="83">
        <f t="shared" si="48"/>
        <v>24.556976744186048</v>
      </c>
      <c r="AD101" s="83">
        <f t="shared" si="48"/>
        <v>25.559302325581395</v>
      </c>
      <c r="AE101" s="83">
        <f t="shared" si="49"/>
        <v>24.878391472868213</v>
      </c>
      <c r="AF101" s="83"/>
      <c r="AH101" s="83"/>
      <c r="AI101" s="83"/>
      <c r="BB101" s="101">
        <f t="shared" si="50"/>
        <v>1283.7249999999997</v>
      </c>
      <c r="BD101" s="112">
        <f t="shared" si="51"/>
        <v>4.32</v>
      </c>
      <c r="BE101" s="136">
        <f t="shared" si="52"/>
        <v>1289.6958139534884</v>
      </c>
      <c r="BF101" s="137">
        <f t="shared" si="53"/>
        <v>5.9708139534886868</v>
      </c>
      <c r="BG101" s="113">
        <f t="shared" si="54"/>
        <v>4.6511627906979207E-3</v>
      </c>
    </row>
    <row r="102" spans="1:59" s="62" customFormat="1" outlineLevel="1" x14ac:dyDescent="0.25">
      <c r="A102" s="62" t="str">
        <f t="shared" si="45"/>
        <v>MURREYSRESIDENTIALPACKR-YARDWASTE</v>
      </c>
      <c r="B102" s="81" t="s">
        <v>717</v>
      </c>
      <c r="C102" s="81" t="s">
        <v>718</v>
      </c>
      <c r="D102" s="82">
        <v>5.39</v>
      </c>
      <c r="E102" s="82">
        <v>5.39</v>
      </c>
      <c r="F102" s="83">
        <v>37.28</v>
      </c>
      <c r="G102" s="83">
        <v>37.28</v>
      </c>
      <c r="H102" s="83">
        <v>37.28</v>
      </c>
      <c r="I102" s="83">
        <v>31.89</v>
      </c>
      <c r="J102" s="83">
        <v>31.89</v>
      </c>
      <c r="K102" s="83">
        <v>31.895000000000003</v>
      </c>
      <c r="L102" s="83">
        <v>34.594999999999999</v>
      </c>
      <c r="M102" s="83">
        <v>37.35</v>
      </c>
      <c r="N102" s="83">
        <v>31.950000000000003</v>
      </c>
      <c r="O102" s="83">
        <v>31.950000000000003</v>
      </c>
      <c r="P102" s="83">
        <v>31.950000000000003</v>
      </c>
      <c r="Q102" s="83">
        <v>26.54</v>
      </c>
      <c r="R102" s="116">
        <f t="shared" si="46"/>
        <v>401.85</v>
      </c>
      <c r="S102" s="83">
        <f t="shared" si="47"/>
        <v>6.9165120593692029</v>
      </c>
      <c r="T102" s="83">
        <f t="shared" si="47"/>
        <v>6.9165120593692029</v>
      </c>
      <c r="U102" s="83">
        <f t="shared" si="48"/>
        <v>6.9165120593692029</v>
      </c>
      <c r="V102" s="83">
        <f t="shared" si="48"/>
        <v>5.9165120593692029</v>
      </c>
      <c r="W102" s="83">
        <f t="shared" si="48"/>
        <v>5.9165120593692029</v>
      </c>
      <c r="X102" s="83">
        <f t="shared" si="48"/>
        <v>5.91743970315399</v>
      </c>
      <c r="Y102" s="83">
        <f t="shared" si="48"/>
        <v>6.4183673469387754</v>
      </c>
      <c r="Z102" s="83">
        <f t="shared" si="48"/>
        <v>6.929499072356216</v>
      </c>
      <c r="AA102" s="83">
        <f t="shared" si="48"/>
        <v>5.9276437847866426</v>
      </c>
      <c r="AB102" s="83">
        <f t="shared" si="48"/>
        <v>5.9276437847866426</v>
      </c>
      <c r="AC102" s="83">
        <f t="shared" si="48"/>
        <v>5.9276437847866426</v>
      </c>
      <c r="AD102" s="83">
        <f t="shared" si="48"/>
        <v>4.9239332096474957</v>
      </c>
      <c r="AE102" s="83">
        <f t="shared" si="49"/>
        <v>6.2128942486085341</v>
      </c>
      <c r="AF102" s="83"/>
      <c r="AH102" s="83"/>
      <c r="AI102" s="83"/>
      <c r="BB102" s="101">
        <f t="shared" si="50"/>
        <v>401.84999999999997</v>
      </c>
      <c r="BD102" s="112">
        <f t="shared" si="51"/>
        <v>5.42</v>
      </c>
      <c r="BE102" s="136">
        <f t="shared" si="52"/>
        <v>404.08664192949902</v>
      </c>
      <c r="BF102" s="137">
        <f t="shared" si="53"/>
        <v>2.2366419294990578</v>
      </c>
      <c r="BG102" s="113">
        <f t="shared" si="54"/>
        <v>5.5658627087198159E-3</v>
      </c>
    </row>
    <row r="103" spans="1:59" s="62" customFormat="1" outlineLevel="1" x14ac:dyDescent="0.25">
      <c r="A103" s="62" t="str">
        <f t="shared" si="45"/>
        <v>MURREYSRESIDENTIALTRIPYCARTS</v>
      </c>
      <c r="B103" s="81" t="s">
        <v>719</v>
      </c>
      <c r="C103" s="81" t="s">
        <v>720</v>
      </c>
      <c r="D103" s="82">
        <v>10.97</v>
      </c>
      <c r="E103" s="82">
        <v>10.97</v>
      </c>
      <c r="F103" s="83">
        <v>32.910000000000004</v>
      </c>
      <c r="G103" s="83">
        <v>43.88</v>
      </c>
      <c r="H103" s="83">
        <v>32.910000000000004</v>
      </c>
      <c r="I103" s="83">
        <v>87.759999999999991</v>
      </c>
      <c r="J103" s="83">
        <v>186.49</v>
      </c>
      <c r="K103" s="83">
        <v>241.34</v>
      </c>
      <c r="L103" s="83">
        <v>87.759999999999991</v>
      </c>
      <c r="M103" s="83">
        <v>43.97</v>
      </c>
      <c r="N103" s="83">
        <v>11</v>
      </c>
      <c r="O103" s="83">
        <v>33</v>
      </c>
      <c r="P103" s="83">
        <v>44</v>
      </c>
      <c r="Q103" s="83">
        <v>22</v>
      </c>
      <c r="R103" s="116">
        <f t="shared" si="46"/>
        <v>867.0200000000001</v>
      </c>
      <c r="S103" s="83">
        <f t="shared" si="47"/>
        <v>3</v>
      </c>
      <c r="T103" s="83">
        <f t="shared" si="47"/>
        <v>4</v>
      </c>
      <c r="U103" s="83">
        <f t="shared" si="48"/>
        <v>3</v>
      </c>
      <c r="V103" s="83">
        <f t="shared" si="48"/>
        <v>7.9999999999999991</v>
      </c>
      <c r="W103" s="83">
        <f t="shared" si="48"/>
        <v>17</v>
      </c>
      <c r="X103" s="83">
        <f t="shared" si="48"/>
        <v>22</v>
      </c>
      <c r="Y103" s="83">
        <f t="shared" si="48"/>
        <v>7.9999999999999991</v>
      </c>
      <c r="Z103" s="83">
        <f t="shared" si="48"/>
        <v>4.00820419325433</v>
      </c>
      <c r="AA103" s="83">
        <f t="shared" si="48"/>
        <v>1.0027347310847765</v>
      </c>
      <c r="AB103" s="83">
        <f t="shared" si="48"/>
        <v>3.00820419325433</v>
      </c>
      <c r="AC103" s="83">
        <f t="shared" si="48"/>
        <v>4.010938924339106</v>
      </c>
      <c r="AD103" s="83">
        <f t="shared" si="48"/>
        <v>2.005469462169553</v>
      </c>
      <c r="AE103" s="83">
        <f t="shared" si="49"/>
        <v>6.5862959586751737</v>
      </c>
      <c r="AF103" s="83"/>
      <c r="AH103" s="83"/>
      <c r="AI103" s="83"/>
      <c r="BB103" s="101">
        <f t="shared" si="50"/>
        <v>867.02</v>
      </c>
      <c r="BD103" s="112">
        <f t="shared" si="51"/>
        <v>11.02</v>
      </c>
      <c r="BE103" s="136">
        <f t="shared" si="52"/>
        <v>870.9717775752049</v>
      </c>
      <c r="BF103" s="137">
        <f t="shared" si="53"/>
        <v>3.9517775752049147</v>
      </c>
      <c r="BG103" s="113">
        <f t="shared" si="54"/>
        <v>4.5578851412942205E-3</v>
      </c>
    </row>
    <row r="104" spans="1:59" s="62" customFormat="1" outlineLevel="1" x14ac:dyDescent="0.25">
      <c r="A104" s="62" t="str">
        <f t="shared" si="45"/>
        <v>MURREYSRESIDENTIALPACKR-YARDAD</v>
      </c>
      <c r="B104" s="81" t="s">
        <v>721</v>
      </c>
      <c r="C104" s="81" t="s">
        <v>722</v>
      </c>
      <c r="D104" s="82">
        <v>1.17</v>
      </c>
      <c r="E104" s="82">
        <v>1.17</v>
      </c>
      <c r="F104" s="83">
        <v>1.17</v>
      </c>
      <c r="G104" s="83">
        <v>1.17</v>
      </c>
      <c r="H104" s="83">
        <v>1.17</v>
      </c>
      <c r="I104" s="83">
        <v>1.17</v>
      </c>
      <c r="J104" s="83">
        <v>1.17</v>
      </c>
      <c r="K104" s="83">
        <v>1.17</v>
      </c>
      <c r="L104" s="83">
        <v>1.17</v>
      </c>
      <c r="M104" s="83">
        <v>1.17</v>
      </c>
      <c r="N104" s="83">
        <v>1.17</v>
      </c>
      <c r="O104" s="83">
        <v>1.17</v>
      </c>
      <c r="P104" s="83">
        <v>1.17</v>
      </c>
      <c r="Q104" s="83">
        <v>1.17</v>
      </c>
      <c r="R104" s="116">
        <f t="shared" si="46"/>
        <v>14.04</v>
      </c>
      <c r="S104" s="83">
        <f t="shared" si="47"/>
        <v>1</v>
      </c>
      <c r="T104" s="83">
        <f t="shared" si="47"/>
        <v>1</v>
      </c>
      <c r="U104" s="83">
        <f t="shared" si="48"/>
        <v>1</v>
      </c>
      <c r="V104" s="83">
        <f t="shared" si="48"/>
        <v>1</v>
      </c>
      <c r="W104" s="83">
        <f t="shared" si="48"/>
        <v>1</v>
      </c>
      <c r="X104" s="83">
        <f t="shared" si="48"/>
        <v>1</v>
      </c>
      <c r="Y104" s="83">
        <f t="shared" si="48"/>
        <v>1</v>
      </c>
      <c r="Z104" s="83">
        <f t="shared" si="48"/>
        <v>1</v>
      </c>
      <c r="AA104" s="83">
        <f t="shared" si="48"/>
        <v>1</v>
      </c>
      <c r="AB104" s="83">
        <f t="shared" si="48"/>
        <v>1</v>
      </c>
      <c r="AC104" s="83">
        <f t="shared" si="48"/>
        <v>1</v>
      </c>
      <c r="AD104" s="83">
        <f t="shared" si="48"/>
        <v>1</v>
      </c>
      <c r="AE104" s="83">
        <f t="shared" si="49"/>
        <v>1</v>
      </c>
      <c r="AF104" s="83"/>
      <c r="AH104" s="83"/>
      <c r="AI104" s="83"/>
      <c r="BB104" s="101">
        <f t="shared" si="50"/>
        <v>14.04</v>
      </c>
      <c r="BD104" s="112">
        <f t="shared" si="51"/>
        <v>1.18</v>
      </c>
      <c r="BE104" s="136">
        <f t="shared" si="52"/>
        <v>14.16</v>
      </c>
      <c r="BF104" s="137">
        <f t="shared" si="53"/>
        <v>0.12000000000000099</v>
      </c>
      <c r="BG104" s="113">
        <f t="shared" si="54"/>
        <v>8.547008547008619E-3</v>
      </c>
    </row>
    <row r="105" spans="1:59" s="62" customFormat="1" outlineLevel="1" x14ac:dyDescent="0.25">
      <c r="A105" s="62" t="str">
        <f>+$A$4&amp;$A$247&amp;B105</f>
        <v>MURREYSMULTI-FAMILYMYDW90</v>
      </c>
      <c r="B105" s="81" t="s">
        <v>723</v>
      </c>
      <c r="C105" s="81" t="s">
        <v>724</v>
      </c>
      <c r="D105" s="82">
        <v>3.09</v>
      </c>
      <c r="E105" s="82">
        <v>3.09</v>
      </c>
      <c r="F105" s="83">
        <v>4921.3200000000006</v>
      </c>
      <c r="G105" s="83">
        <v>4917.74</v>
      </c>
      <c r="H105" s="83">
        <v>4950.18</v>
      </c>
      <c r="I105" s="83">
        <v>5008.8899999999994</v>
      </c>
      <c r="J105" s="83">
        <v>4834.3100000000004</v>
      </c>
      <c r="K105" s="83">
        <v>5070.6899999999996</v>
      </c>
      <c r="L105" s="83">
        <v>5193.5099999999993</v>
      </c>
      <c r="M105" s="83">
        <v>5245.18</v>
      </c>
      <c r="N105" s="83">
        <v>5245.2</v>
      </c>
      <c r="O105" s="83">
        <v>5249.9100000000008</v>
      </c>
      <c r="P105" s="83">
        <v>5297.9000000000005</v>
      </c>
      <c r="Q105" s="83">
        <v>5305.6500000000005</v>
      </c>
      <c r="R105" s="116">
        <f>+SUM(F105:Q105)</f>
        <v>61240.480000000003</v>
      </c>
      <c r="S105" s="83">
        <f>+IFERROR(F105/$D105,0)</f>
        <v>1592.6601941747576</v>
      </c>
      <c r="T105" s="83">
        <f>+IFERROR(G105/$D105,0)</f>
        <v>1591.5016181229773</v>
      </c>
      <c r="U105" s="83">
        <f t="shared" si="48"/>
        <v>1602.0000000000002</v>
      </c>
      <c r="V105" s="83">
        <f t="shared" si="48"/>
        <v>1620.9999999999998</v>
      </c>
      <c r="W105" s="83">
        <f t="shared" si="48"/>
        <v>1564.5016181229776</v>
      </c>
      <c r="X105" s="83">
        <f t="shared" si="48"/>
        <v>1641</v>
      </c>
      <c r="Y105" s="83">
        <f t="shared" si="48"/>
        <v>1680.7475728155339</v>
      </c>
      <c r="Z105" s="83">
        <f t="shared" si="48"/>
        <v>1697.4692556634307</v>
      </c>
      <c r="AA105" s="83">
        <f t="shared" si="48"/>
        <v>1697.4757281553398</v>
      </c>
      <c r="AB105" s="83">
        <f t="shared" si="48"/>
        <v>1699.0000000000002</v>
      </c>
      <c r="AC105" s="83">
        <f t="shared" si="48"/>
        <v>1714.5307443365698</v>
      </c>
      <c r="AD105" s="83">
        <f t="shared" si="48"/>
        <v>1717.0388349514565</v>
      </c>
      <c r="AE105" s="83">
        <f>+SUM(S105:AD105)/$AB$2</f>
        <v>1651.5771305285871</v>
      </c>
      <c r="AF105" s="83"/>
      <c r="AH105" s="83"/>
      <c r="AI105" s="83"/>
      <c r="BB105" s="101">
        <f t="shared" si="50"/>
        <v>61240.48000000001</v>
      </c>
      <c r="BD105" s="112">
        <f t="shared" si="51"/>
        <v>3.1</v>
      </c>
      <c r="BE105" s="136">
        <f t="shared" si="52"/>
        <v>61438.669255663437</v>
      </c>
      <c r="BF105" s="137">
        <f t="shared" si="53"/>
        <v>198.18925566342659</v>
      </c>
      <c r="BG105" s="113">
        <f t="shared" si="54"/>
        <v>3.2362459546924935E-3</v>
      </c>
    </row>
    <row r="106" spans="1:59" s="62" customFormat="1" outlineLevel="1" x14ac:dyDescent="0.25">
      <c r="B106" s="81"/>
      <c r="C106" s="81"/>
      <c r="D106" s="82"/>
      <c r="E106" s="82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117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H106" s="83"/>
      <c r="AI106" s="83"/>
      <c r="BB106" s="101"/>
    </row>
    <row r="107" spans="1:59" s="62" customFormat="1" outlineLevel="1" x14ac:dyDescent="0.25">
      <c r="B107" s="81"/>
      <c r="C107" s="85" t="s">
        <v>725</v>
      </c>
      <c r="D107" s="82"/>
      <c r="E107" s="82"/>
      <c r="F107" s="86">
        <f t="shared" ref="F107:R107" si="55">SUM(F96:F106)</f>
        <v>214027.64500000005</v>
      </c>
      <c r="G107" s="86">
        <f t="shared" si="55"/>
        <v>213989.98499999999</v>
      </c>
      <c r="H107" s="86">
        <f t="shared" si="55"/>
        <v>216160.065</v>
      </c>
      <c r="I107" s="86">
        <f t="shared" si="55"/>
        <v>219190.5</v>
      </c>
      <c r="J107" s="86">
        <f t="shared" si="55"/>
        <v>221400.93000000002</v>
      </c>
      <c r="K107" s="86">
        <f t="shared" si="55"/>
        <v>226928.73499999999</v>
      </c>
      <c r="L107" s="86">
        <f t="shared" si="55"/>
        <v>228245.22500000001</v>
      </c>
      <c r="M107" s="86">
        <f t="shared" si="55"/>
        <v>229675.25</v>
      </c>
      <c r="N107" s="86">
        <f t="shared" si="55"/>
        <v>230793.01000000007</v>
      </c>
      <c r="O107" s="86">
        <f t="shared" si="55"/>
        <v>231613.83500000002</v>
      </c>
      <c r="P107" s="86">
        <f t="shared" si="55"/>
        <v>231537.99000000002</v>
      </c>
      <c r="Q107" s="86">
        <f t="shared" si="55"/>
        <v>231369.99</v>
      </c>
      <c r="R107" s="86">
        <f t="shared" si="55"/>
        <v>2694933.16</v>
      </c>
      <c r="S107" s="86">
        <f t="shared" ref="S107:AE107" si="56">SUM(S96:S98)</f>
        <v>33794.461165048553</v>
      </c>
      <c r="T107" s="86">
        <f t="shared" si="56"/>
        <v>33772.601132686083</v>
      </c>
      <c r="U107" s="86">
        <f t="shared" si="56"/>
        <v>34092.567152103555</v>
      </c>
      <c r="V107" s="86">
        <f t="shared" si="56"/>
        <v>34469.062297734628</v>
      </c>
      <c r="W107" s="86">
        <f t="shared" si="56"/>
        <v>34780.26132686084</v>
      </c>
      <c r="X107" s="86">
        <f t="shared" si="56"/>
        <v>35662.51294498382</v>
      </c>
      <c r="Y107" s="86">
        <f t="shared" si="56"/>
        <v>35965.830097087375</v>
      </c>
      <c r="Z107" s="86">
        <f t="shared" si="56"/>
        <v>36234.7572815534</v>
      </c>
      <c r="AA107" s="86">
        <f t="shared" si="56"/>
        <v>36357.271844660201</v>
      </c>
      <c r="AB107" s="86">
        <f t="shared" si="56"/>
        <v>36534.313106796115</v>
      </c>
      <c r="AC107" s="86">
        <f t="shared" si="56"/>
        <v>36518.902103559871</v>
      </c>
      <c r="AD107" s="86">
        <f t="shared" si="56"/>
        <v>36512.652912621357</v>
      </c>
      <c r="AE107" s="86">
        <f t="shared" si="56"/>
        <v>35391.266113807978</v>
      </c>
      <c r="AF107" s="87"/>
      <c r="AH107" s="83"/>
      <c r="AI107" s="83"/>
      <c r="BB107" s="118">
        <f>SUM(BB96:BB106)</f>
        <v>2694933.1599999997</v>
      </c>
      <c r="BE107" s="118">
        <f t="shared" ref="BE107" si="57">SUM(BE96:BE106)</f>
        <v>2707917.0450205132</v>
      </c>
      <c r="BF107" s="118">
        <f t="shared" ref="BF107" si="58">SUM(BF96:BF106)</f>
        <v>12983.885020513675</v>
      </c>
      <c r="BG107" s="113">
        <f t="shared" ref="BG107" si="59">IFERROR(+BF107/BB107,0)</f>
        <v>4.8178875874285787E-3</v>
      </c>
    </row>
    <row r="108" spans="1:59" s="62" customFormat="1" outlineLevel="1" x14ac:dyDescent="0.25">
      <c r="B108" s="81"/>
      <c r="C108" s="85"/>
      <c r="D108" s="82"/>
      <c r="E108" s="82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117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H108" s="83"/>
      <c r="AI108" s="83"/>
      <c r="BB108" s="101"/>
    </row>
    <row r="109" spans="1:59" s="62" customFormat="1" outlineLevel="1" x14ac:dyDescent="0.25">
      <c r="D109" s="82"/>
      <c r="E109" s="82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117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H109" s="83"/>
      <c r="AI109" s="83"/>
      <c r="BB109" s="101"/>
    </row>
    <row r="110" spans="1:59" s="61" customFormat="1" ht="15.75" thickBot="1" x14ac:dyDescent="0.3">
      <c r="B110" s="61" t="s">
        <v>726</v>
      </c>
      <c r="D110" s="82"/>
      <c r="E110" s="82"/>
      <c r="F110" s="89">
        <f t="shared" ref="F110:AE110" si="60">+F79+F93+F107</f>
        <v>2175036.8050000002</v>
      </c>
      <c r="G110" s="89">
        <f t="shared" si="60"/>
        <v>2168600.3199999998</v>
      </c>
      <c r="H110" s="89">
        <f t="shared" si="60"/>
        <v>2205013.4650000008</v>
      </c>
      <c r="I110" s="89">
        <f t="shared" si="60"/>
        <v>2222424.1550000003</v>
      </c>
      <c r="J110" s="89">
        <f t="shared" si="60"/>
        <v>2227262.7199999997</v>
      </c>
      <c r="K110" s="89">
        <f t="shared" si="60"/>
        <v>2262628.3150000004</v>
      </c>
      <c r="L110" s="89">
        <f t="shared" si="60"/>
        <v>2270972.3950000005</v>
      </c>
      <c r="M110" s="89">
        <f t="shared" si="60"/>
        <v>2280504.915</v>
      </c>
      <c r="N110" s="89">
        <f t="shared" si="60"/>
        <v>2293475.9450000008</v>
      </c>
      <c r="O110" s="89">
        <f t="shared" si="60"/>
        <v>2306014.9849999999</v>
      </c>
      <c r="P110" s="89">
        <f t="shared" si="60"/>
        <v>2309529.5300000003</v>
      </c>
      <c r="Q110" s="89">
        <f t="shared" si="60"/>
        <v>2324894.25</v>
      </c>
      <c r="R110" s="89">
        <f t="shared" si="60"/>
        <v>27046357.799999993</v>
      </c>
      <c r="S110" s="89">
        <f t="shared" si="60"/>
        <v>152433.14639243949</v>
      </c>
      <c r="T110" s="89">
        <f t="shared" si="60"/>
        <v>152601.25156766339</v>
      </c>
      <c r="U110" s="89">
        <f t="shared" si="60"/>
        <v>153683.08846957932</v>
      </c>
      <c r="V110" s="89">
        <f t="shared" si="60"/>
        <v>154678.81096401985</v>
      </c>
      <c r="W110" s="89">
        <f t="shared" si="60"/>
        <v>154987.59494230905</v>
      </c>
      <c r="X110" s="89">
        <f t="shared" si="60"/>
        <v>157191.63232447876</v>
      </c>
      <c r="Y110" s="89">
        <f t="shared" si="60"/>
        <v>157967.75338952278</v>
      </c>
      <c r="Z110" s="89">
        <f t="shared" si="60"/>
        <v>158892.92256213649</v>
      </c>
      <c r="AA110" s="89">
        <f t="shared" si="60"/>
        <v>159461.31621247955</v>
      </c>
      <c r="AB110" s="89">
        <f t="shared" si="60"/>
        <v>159935.62436405243</v>
      </c>
      <c r="AC110" s="89">
        <f t="shared" si="60"/>
        <v>159943.52794563546</v>
      </c>
      <c r="AD110" s="89">
        <f t="shared" si="60"/>
        <v>160398.2933773367</v>
      </c>
      <c r="AE110" s="89">
        <f t="shared" si="60"/>
        <v>156847.91354263775</v>
      </c>
      <c r="AF110" s="89"/>
      <c r="AH110" s="89"/>
      <c r="AI110" s="89"/>
      <c r="BA110" s="62"/>
      <c r="BB110" s="120">
        <f>+SUM(BB107,BB93,BB79)</f>
        <v>27074574.913395051</v>
      </c>
      <c r="BE110" s="120">
        <f t="shared" ref="BE110:BF110" si="61">+SUM(BE107,BE93,BE79)</f>
        <v>27199829.642937541</v>
      </c>
      <c r="BF110" s="120">
        <f t="shared" si="61"/>
        <v>125254.72954248684</v>
      </c>
      <c r="BG110" s="113">
        <f t="shared" ref="BG110" si="62">IFERROR(+BF110/BB110,0)</f>
        <v>4.626286098420607E-3</v>
      </c>
    </row>
    <row r="111" spans="1:59" s="61" customFormat="1" ht="15.75" outlineLevel="1" thickTop="1" x14ac:dyDescent="0.25">
      <c r="D111" s="82"/>
      <c r="E111" s="82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117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H111" s="89"/>
      <c r="AI111" s="89"/>
      <c r="BA111" s="62"/>
      <c r="BB111" s="101"/>
    </row>
    <row r="112" spans="1:59" s="61" customFormat="1" outlineLevel="1" x14ac:dyDescent="0.25">
      <c r="D112" s="82"/>
      <c r="E112" s="82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117"/>
      <c r="S112" s="89"/>
      <c r="T112" s="89"/>
      <c r="U112" s="89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H112" s="89"/>
      <c r="AI112" s="89"/>
      <c r="BA112" s="62"/>
      <c r="BB112" s="101"/>
    </row>
    <row r="113" spans="1:59" s="62" customFormat="1" outlineLevel="1" x14ac:dyDescent="0.25">
      <c r="B113" s="76" t="s">
        <v>727</v>
      </c>
      <c r="C113" s="77"/>
      <c r="D113" s="82"/>
      <c r="E113" s="82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117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H113" s="83"/>
      <c r="AI113" s="83"/>
      <c r="BB113" s="101"/>
    </row>
    <row r="114" spans="1:59" s="62" customFormat="1" outlineLevel="1" x14ac:dyDescent="0.25">
      <c r="B114" s="76"/>
      <c r="C114" s="77"/>
      <c r="D114" s="82"/>
      <c r="E114" s="82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117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H114" s="83"/>
      <c r="AI114" s="83"/>
      <c r="BB114" s="101"/>
    </row>
    <row r="115" spans="1:59" s="62" customFormat="1" outlineLevel="1" x14ac:dyDescent="0.25">
      <c r="A115" s="62" t="s">
        <v>728</v>
      </c>
      <c r="B115" s="80" t="s">
        <v>729</v>
      </c>
      <c r="C115" s="77"/>
      <c r="D115" s="82"/>
      <c r="E115" s="82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117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H115" s="83"/>
      <c r="AI115" s="83"/>
      <c r="BB115" s="101">
        <f t="shared" si="50"/>
        <v>0</v>
      </c>
      <c r="BD115" s="112">
        <f t="shared" ref="BD115:BD178" si="63">ROUND(E115*(1+$BF$4),2)</f>
        <v>0</v>
      </c>
      <c r="BE115" s="136">
        <f t="shared" ref="BE115:BE178" si="64">BD115*AE115*12</f>
        <v>0</v>
      </c>
      <c r="BF115" s="137">
        <f t="shared" ref="BF115:BF178" si="65">+BE115-BB115</f>
        <v>0</v>
      </c>
      <c r="BG115" s="113">
        <f t="shared" ref="BG115:BG178" si="66">IFERROR(+BF115/BB115,0)</f>
        <v>0</v>
      </c>
    </row>
    <row r="116" spans="1:59" s="62" customFormat="1" outlineLevel="1" x14ac:dyDescent="0.25">
      <c r="A116" s="62" t="str">
        <f t="shared" ref="A116:A179" si="67">+$A$4&amp;$A$115&amp;B116</f>
        <v>MURREYSCOMMERCIAL20CW1</v>
      </c>
      <c r="B116" s="81" t="s">
        <v>730</v>
      </c>
      <c r="C116" s="81" t="s">
        <v>731</v>
      </c>
      <c r="D116" s="82">
        <v>16.920000000000002</v>
      </c>
      <c r="E116" s="82">
        <v>17.03</v>
      </c>
      <c r="F116" s="83">
        <v>33.840000000000003</v>
      </c>
      <c r="G116" s="83">
        <v>59.22</v>
      </c>
      <c r="H116" s="83">
        <v>68.12</v>
      </c>
      <c r="I116" s="83">
        <v>55.35</v>
      </c>
      <c r="J116" s="83">
        <v>34.06</v>
      </c>
      <c r="K116" s="83">
        <v>68.12</v>
      </c>
      <c r="L116" s="83">
        <v>68.12</v>
      </c>
      <c r="M116" s="83">
        <v>68.319999999999993</v>
      </c>
      <c r="N116" s="83">
        <v>64.05</v>
      </c>
      <c r="O116" s="83">
        <v>51.24</v>
      </c>
      <c r="P116" s="83">
        <v>51.24</v>
      </c>
      <c r="Q116" s="83">
        <v>51.24</v>
      </c>
      <c r="R116" s="116">
        <f t="shared" ref="R116:R184" si="68">+SUM(F116:Q116)</f>
        <v>672.92000000000007</v>
      </c>
      <c r="S116" s="83">
        <f t="shared" ref="S116:T187" si="69">+IFERROR(F116/$D116,0)</f>
        <v>2</v>
      </c>
      <c r="T116" s="83">
        <f t="shared" si="69"/>
        <v>3.4999999999999996</v>
      </c>
      <c r="U116" s="83">
        <f t="shared" ref="U116:AD131" si="70">+IFERROR(H116/$E116,0)</f>
        <v>4</v>
      </c>
      <c r="V116" s="83">
        <f t="shared" si="70"/>
        <v>3.2501467997651203</v>
      </c>
      <c r="W116" s="83">
        <f t="shared" si="70"/>
        <v>2</v>
      </c>
      <c r="X116" s="83">
        <f t="shared" si="70"/>
        <v>4</v>
      </c>
      <c r="Y116" s="83">
        <f t="shared" si="70"/>
        <v>4</v>
      </c>
      <c r="Z116" s="83">
        <f t="shared" si="70"/>
        <v>4.0117439812096292</v>
      </c>
      <c r="AA116" s="83">
        <f t="shared" si="70"/>
        <v>3.7610099823840279</v>
      </c>
      <c r="AB116" s="83">
        <f t="shared" si="70"/>
        <v>3.0088079859072225</v>
      </c>
      <c r="AC116" s="83">
        <f t="shared" si="70"/>
        <v>3.0088079859072225</v>
      </c>
      <c r="AD116" s="83">
        <f t="shared" si="70"/>
        <v>3.0088079859072225</v>
      </c>
      <c r="AE116" s="83">
        <f t="shared" ref="AE116:AE187" si="71">+SUM(S116:AD116)/$AB$2</f>
        <v>3.2957770600900376</v>
      </c>
      <c r="AF116" s="83"/>
      <c r="AH116" s="83"/>
      <c r="AI116" s="83"/>
      <c r="BB116" s="101">
        <f t="shared" si="50"/>
        <v>673.52500000000009</v>
      </c>
      <c r="BD116" s="112">
        <f t="shared" si="63"/>
        <v>17.11</v>
      </c>
      <c r="BE116" s="136">
        <f t="shared" si="64"/>
        <v>676.68894597768644</v>
      </c>
      <c r="BF116" s="137">
        <f t="shared" si="65"/>
        <v>3.1639459776863532</v>
      </c>
      <c r="BG116" s="113">
        <f t="shared" si="66"/>
        <v>4.6975924838519026E-3</v>
      </c>
    </row>
    <row r="117" spans="1:59" s="62" customFormat="1" outlineLevel="1" x14ac:dyDescent="0.25">
      <c r="A117" s="62" t="str">
        <f t="shared" si="67"/>
        <v>MURREYSCOMMERCIAL32C2W2</v>
      </c>
      <c r="B117" s="81" t="s">
        <v>732</v>
      </c>
      <c r="C117" s="81" t="s">
        <v>733</v>
      </c>
      <c r="D117" s="82">
        <v>0</v>
      </c>
      <c r="E117" s="82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116">
        <f t="shared" si="68"/>
        <v>0</v>
      </c>
      <c r="S117" s="83">
        <f t="shared" si="69"/>
        <v>0</v>
      </c>
      <c r="T117" s="83">
        <f t="shared" si="69"/>
        <v>0</v>
      </c>
      <c r="U117" s="83">
        <f t="shared" si="70"/>
        <v>0</v>
      </c>
      <c r="V117" s="83">
        <f t="shared" si="70"/>
        <v>0</v>
      </c>
      <c r="W117" s="83">
        <f t="shared" si="70"/>
        <v>0</v>
      </c>
      <c r="X117" s="83">
        <f t="shared" si="70"/>
        <v>0</v>
      </c>
      <c r="Y117" s="83">
        <f t="shared" si="70"/>
        <v>0</v>
      </c>
      <c r="Z117" s="83">
        <f t="shared" si="70"/>
        <v>0</v>
      </c>
      <c r="AA117" s="83">
        <f t="shared" si="70"/>
        <v>0</v>
      </c>
      <c r="AB117" s="83">
        <f t="shared" si="70"/>
        <v>0</v>
      </c>
      <c r="AC117" s="83">
        <f t="shared" si="70"/>
        <v>0</v>
      </c>
      <c r="AD117" s="83">
        <f t="shared" si="70"/>
        <v>0</v>
      </c>
      <c r="AE117" s="83">
        <f t="shared" si="71"/>
        <v>0</v>
      </c>
      <c r="AF117" s="83"/>
      <c r="AH117" s="83"/>
      <c r="AI117" s="83"/>
      <c r="BB117" s="101">
        <f t="shared" si="50"/>
        <v>0</v>
      </c>
      <c r="BD117" s="112">
        <f t="shared" si="63"/>
        <v>0</v>
      </c>
      <c r="BE117" s="136">
        <f t="shared" si="64"/>
        <v>0</v>
      </c>
      <c r="BF117" s="137">
        <f t="shared" si="65"/>
        <v>0</v>
      </c>
      <c r="BG117" s="113">
        <f t="shared" si="66"/>
        <v>0</v>
      </c>
    </row>
    <row r="118" spans="1:59" s="62" customFormat="1" outlineLevel="1" x14ac:dyDescent="0.25">
      <c r="A118" s="62" t="str">
        <f t="shared" si="67"/>
        <v>MURREYSCOMMERCIAL32CE1</v>
      </c>
      <c r="B118" s="81" t="s">
        <v>734</v>
      </c>
      <c r="C118" s="81" t="s">
        <v>735</v>
      </c>
      <c r="D118" s="82">
        <v>0</v>
      </c>
      <c r="E118" s="82">
        <v>0</v>
      </c>
      <c r="F118" s="83">
        <v>0</v>
      </c>
      <c r="G118" s="83">
        <v>0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116">
        <f t="shared" si="68"/>
        <v>0</v>
      </c>
      <c r="S118" s="83">
        <f t="shared" si="69"/>
        <v>0</v>
      </c>
      <c r="T118" s="83">
        <f t="shared" si="69"/>
        <v>0</v>
      </c>
      <c r="U118" s="83">
        <f t="shared" si="70"/>
        <v>0</v>
      </c>
      <c r="V118" s="83">
        <f t="shared" si="70"/>
        <v>0</v>
      </c>
      <c r="W118" s="83">
        <f t="shared" si="70"/>
        <v>0</v>
      </c>
      <c r="X118" s="83">
        <f t="shared" si="70"/>
        <v>0</v>
      </c>
      <c r="Y118" s="83">
        <f t="shared" si="70"/>
        <v>0</v>
      </c>
      <c r="Z118" s="83">
        <f t="shared" si="70"/>
        <v>0</v>
      </c>
      <c r="AA118" s="83">
        <f t="shared" si="70"/>
        <v>0</v>
      </c>
      <c r="AB118" s="83">
        <f t="shared" si="70"/>
        <v>0</v>
      </c>
      <c r="AC118" s="83">
        <f t="shared" si="70"/>
        <v>0</v>
      </c>
      <c r="AD118" s="83">
        <f t="shared" si="70"/>
        <v>0</v>
      </c>
      <c r="AE118" s="83">
        <f t="shared" si="71"/>
        <v>0</v>
      </c>
      <c r="AF118" s="83"/>
      <c r="AH118" s="83"/>
      <c r="AI118" s="83"/>
      <c r="BB118" s="101">
        <f t="shared" si="50"/>
        <v>0</v>
      </c>
      <c r="BD118" s="112">
        <f t="shared" si="63"/>
        <v>0</v>
      </c>
      <c r="BE118" s="136">
        <f t="shared" si="64"/>
        <v>0</v>
      </c>
      <c r="BF118" s="137">
        <f t="shared" si="65"/>
        <v>0</v>
      </c>
      <c r="BG118" s="113">
        <f t="shared" si="66"/>
        <v>0</v>
      </c>
    </row>
    <row r="119" spans="1:59" s="62" customFormat="1" outlineLevel="1" x14ac:dyDescent="0.25">
      <c r="A119" s="62" t="str">
        <f t="shared" si="67"/>
        <v>MURREYSCOMMERCIAL32CW1</v>
      </c>
      <c r="B119" s="81" t="s">
        <v>736</v>
      </c>
      <c r="C119" s="81" t="s">
        <v>575</v>
      </c>
      <c r="D119" s="82">
        <v>0</v>
      </c>
      <c r="E119" s="82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116">
        <f t="shared" si="68"/>
        <v>0</v>
      </c>
      <c r="S119" s="83">
        <f t="shared" si="69"/>
        <v>0</v>
      </c>
      <c r="T119" s="83">
        <f t="shared" si="69"/>
        <v>0</v>
      </c>
      <c r="U119" s="83">
        <f t="shared" si="70"/>
        <v>0</v>
      </c>
      <c r="V119" s="83">
        <f t="shared" si="70"/>
        <v>0</v>
      </c>
      <c r="W119" s="83">
        <f t="shared" si="70"/>
        <v>0</v>
      </c>
      <c r="X119" s="83">
        <f t="shared" si="70"/>
        <v>0</v>
      </c>
      <c r="Y119" s="83">
        <f t="shared" si="70"/>
        <v>0</v>
      </c>
      <c r="Z119" s="83">
        <f t="shared" si="70"/>
        <v>0</v>
      </c>
      <c r="AA119" s="83">
        <f t="shared" si="70"/>
        <v>0</v>
      </c>
      <c r="AB119" s="83">
        <f t="shared" si="70"/>
        <v>0</v>
      </c>
      <c r="AC119" s="83">
        <f t="shared" si="70"/>
        <v>0</v>
      </c>
      <c r="AD119" s="83">
        <f t="shared" si="70"/>
        <v>0</v>
      </c>
      <c r="AE119" s="83">
        <f t="shared" si="71"/>
        <v>0</v>
      </c>
      <c r="AF119" s="83"/>
      <c r="AH119" s="83"/>
      <c r="AI119" s="83"/>
      <c r="BB119" s="101">
        <f t="shared" si="50"/>
        <v>0</v>
      </c>
      <c r="BD119" s="112">
        <f t="shared" si="63"/>
        <v>0</v>
      </c>
      <c r="BE119" s="136">
        <f t="shared" si="64"/>
        <v>0</v>
      </c>
      <c r="BF119" s="137">
        <f t="shared" si="65"/>
        <v>0</v>
      </c>
      <c r="BG119" s="113">
        <f t="shared" si="66"/>
        <v>0</v>
      </c>
    </row>
    <row r="120" spans="1:59" s="62" customFormat="1" outlineLevel="1" x14ac:dyDescent="0.25">
      <c r="A120" s="62" t="str">
        <f t="shared" si="67"/>
        <v>MURREYSCOMMERCIAL32CW1</v>
      </c>
      <c r="B120" s="81" t="s">
        <v>736</v>
      </c>
      <c r="C120" s="81" t="s">
        <v>737</v>
      </c>
      <c r="D120" s="82">
        <v>0</v>
      </c>
      <c r="E120" s="82">
        <v>0</v>
      </c>
      <c r="F120" s="83">
        <v>0</v>
      </c>
      <c r="G120" s="83">
        <v>0</v>
      </c>
      <c r="H120" s="83">
        <v>0</v>
      </c>
      <c r="I120" s="83">
        <v>0</v>
      </c>
      <c r="J120" s="83">
        <v>0</v>
      </c>
      <c r="K120" s="83">
        <v>0</v>
      </c>
      <c r="L120" s="83">
        <v>0</v>
      </c>
      <c r="M120" s="83">
        <v>0</v>
      </c>
      <c r="N120" s="83">
        <v>0</v>
      </c>
      <c r="O120" s="83">
        <v>0</v>
      </c>
      <c r="P120" s="83">
        <v>0</v>
      </c>
      <c r="Q120" s="83">
        <v>0</v>
      </c>
      <c r="R120" s="116">
        <f t="shared" si="68"/>
        <v>0</v>
      </c>
      <c r="S120" s="83">
        <f t="shared" si="69"/>
        <v>0</v>
      </c>
      <c r="T120" s="83">
        <f t="shared" si="69"/>
        <v>0</v>
      </c>
      <c r="U120" s="83">
        <f t="shared" si="70"/>
        <v>0</v>
      </c>
      <c r="V120" s="83">
        <f t="shared" si="70"/>
        <v>0</v>
      </c>
      <c r="W120" s="83">
        <f t="shared" si="70"/>
        <v>0</v>
      </c>
      <c r="X120" s="83">
        <f t="shared" si="70"/>
        <v>0</v>
      </c>
      <c r="Y120" s="83">
        <f t="shared" si="70"/>
        <v>0</v>
      </c>
      <c r="Z120" s="83">
        <f t="shared" si="70"/>
        <v>0</v>
      </c>
      <c r="AA120" s="83">
        <f t="shared" si="70"/>
        <v>0</v>
      </c>
      <c r="AB120" s="83">
        <f t="shared" si="70"/>
        <v>0</v>
      </c>
      <c r="AC120" s="83">
        <f t="shared" si="70"/>
        <v>0</v>
      </c>
      <c r="AD120" s="83">
        <f t="shared" si="70"/>
        <v>0</v>
      </c>
      <c r="AE120" s="83">
        <f t="shared" si="71"/>
        <v>0</v>
      </c>
      <c r="AF120" s="83"/>
      <c r="AH120" s="83"/>
      <c r="AI120" s="83"/>
      <c r="BB120" s="101">
        <f t="shared" si="50"/>
        <v>0</v>
      </c>
      <c r="BD120" s="112">
        <f t="shared" si="63"/>
        <v>0</v>
      </c>
      <c r="BE120" s="136">
        <f t="shared" si="64"/>
        <v>0</v>
      </c>
      <c r="BF120" s="137">
        <f t="shared" si="65"/>
        <v>0</v>
      </c>
      <c r="BG120" s="113">
        <f t="shared" si="66"/>
        <v>0</v>
      </c>
    </row>
    <row r="121" spans="1:59" s="62" customFormat="1" outlineLevel="1" x14ac:dyDescent="0.25">
      <c r="A121" s="62" t="str">
        <f t="shared" si="67"/>
        <v>MURREYSCOMMERCIAL32CW2</v>
      </c>
      <c r="B121" s="81" t="s">
        <v>738</v>
      </c>
      <c r="C121" s="81" t="s">
        <v>737</v>
      </c>
      <c r="D121" s="82">
        <v>0</v>
      </c>
      <c r="E121" s="82">
        <v>0</v>
      </c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116">
        <f t="shared" si="68"/>
        <v>0</v>
      </c>
      <c r="S121" s="83"/>
      <c r="T121" s="83"/>
      <c r="U121" s="83">
        <f t="shared" si="70"/>
        <v>0</v>
      </c>
      <c r="V121" s="83">
        <f t="shared" si="70"/>
        <v>0</v>
      </c>
      <c r="W121" s="83">
        <f t="shared" si="70"/>
        <v>0</v>
      </c>
      <c r="X121" s="83">
        <f t="shared" si="70"/>
        <v>0</v>
      </c>
      <c r="Y121" s="83">
        <f t="shared" si="70"/>
        <v>0</v>
      </c>
      <c r="Z121" s="83">
        <f t="shared" si="70"/>
        <v>0</v>
      </c>
      <c r="AA121" s="83">
        <f t="shared" si="70"/>
        <v>0</v>
      </c>
      <c r="AB121" s="83">
        <f t="shared" si="70"/>
        <v>0</v>
      </c>
      <c r="AC121" s="83">
        <f t="shared" si="70"/>
        <v>0</v>
      </c>
      <c r="AD121" s="83">
        <f t="shared" si="70"/>
        <v>0</v>
      </c>
      <c r="AE121" s="83"/>
      <c r="AF121" s="83"/>
      <c r="AH121" s="83"/>
      <c r="AI121" s="83"/>
      <c r="BB121" s="101">
        <f t="shared" si="50"/>
        <v>0</v>
      </c>
      <c r="BD121" s="112">
        <f t="shared" si="63"/>
        <v>0</v>
      </c>
      <c r="BE121" s="136">
        <f t="shared" si="64"/>
        <v>0</v>
      </c>
      <c r="BF121" s="137">
        <f t="shared" si="65"/>
        <v>0</v>
      </c>
      <c r="BG121" s="113">
        <f t="shared" si="66"/>
        <v>0</v>
      </c>
    </row>
    <row r="122" spans="1:59" s="62" customFormat="1" outlineLevel="1" x14ac:dyDescent="0.25">
      <c r="A122" s="62" t="str">
        <f t="shared" si="67"/>
        <v>MURREYSCOMMERCIAL32CW3</v>
      </c>
      <c r="B122" s="81" t="s">
        <v>739</v>
      </c>
      <c r="C122" s="81" t="s">
        <v>740</v>
      </c>
      <c r="D122" s="82">
        <v>0</v>
      </c>
      <c r="E122" s="82">
        <v>0</v>
      </c>
      <c r="F122" s="83">
        <v>0</v>
      </c>
      <c r="G122" s="83">
        <v>0</v>
      </c>
      <c r="H122" s="83">
        <v>0</v>
      </c>
      <c r="I122" s="83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83">
        <v>0</v>
      </c>
      <c r="P122" s="83">
        <v>0</v>
      </c>
      <c r="Q122" s="83">
        <v>0</v>
      </c>
      <c r="R122" s="116">
        <f t="shared" si="68"/>
        <v>0</v>
      </c>
      <c r="S122" s="83">
        <f t="shared" si="69"/>
        <v>0</v>
      </c>
      <c r="T122" s="83">
        <f t="shared" si="69"/>
        <v>0</v>
      </c>
      <c r="U122" s="83">
        <f t="shared" si="70"/>
        <v>0</v>
      </c>
      <c r="V122" s="83">
        <f t="shared" si="70"/>
        <v>0</v>
      </c>
      <c r="W122" s="83">
        <f t="shared" si="70"/>
        <v>0</v>
      </c>
      <c r="X122" s="83">
        <f t="shared" si="70"/>
        <v>0</v>
      </c>
      <c r="Y122" s="83">
        <f t="shared" si="70"/>
        <v>0</v>
      </c>
      <c r="Z122" s="83">
        <f t="shared" si="70"/>
        <v>0</v>
      </c>
      <c r="AA122" s="83">
        <f t="shared" si="70"/>
        <v>0</v>
      </c>
      <c r="AB122" s="83">
        <f t="shared" si="70"/>
        <v>0</v>
      </c>
      <c r="AC122" s="83">
        <f t="shared" si="70"/>
        <v>0</v>
      </c>
      <c r="AD122" s="83">
        <f t="shared" si="70"/>
        <v>0</v>
      </c>
      <c r="AE122" s="83">
        <f t="shared" si="71"/>
        <v>0</v>
      </c>
      <c r="AF122" s="83"/>
      <c r="AH122" s="83"/>
      <c r="AI122" s="83"/>
      <c r="BB122" s="101">
        <f t="shared" si="50"/>
        <v>0</v>
      </c>
      <c r="BD122" s="112">
        <f t="shared" si="63"/>
        <v>0</v>
      </c>
      <c r="BE122" s="136">
        <f t="shared" si="64"/>
        <v>0</v>
      </c>
      <c r="BF122" s="137">
        <f t="shared" si="65"/>
        <v>0</v>
      </c>
      <c r="BG122" s="113">
        <f t="shared" si="66"/>
        <v>0</v>
      </c>
    </row>
    <row r="123" spans="1:59" s="62" customFormat="1" outlineLevel="1" x14ac:dyDescent="0.25">
      <c r="A123" s="62" t="str">
        <f t="shared" si="67"/>
        <v>MURREYSCOMMERCIAL32CW4</v>
      </c>
      <c r="B123" s="81" t="s">
        <v>741</v>
      </c>
      <c r="C123" s="81" t="s">
        <v>742</v>
      </c>
      <c r="D123" s="82">
        <v>0</v>
      </c>
      <c r="E123" s="82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116">
        <f t="shared" si="68"/>
        <v>0</v>
      </c>
      <c r="S123" s="83">
        <f t="shared" si="69"/>
        <v>0</v>
      </c>
      <c r="T123" s="83">
        <f t="shared" si="69"/>
        <v>0</v>
      </c>
      <c r="U123" s="83">
        <f t="shared" si="70"/>
        <v>0</v>
      </c>
      <c r="V123" s="83">
        <f t="shared" si="70"/>
        <v>0</v>
      </c>
      <c r="W123" s="83">
        <f t="shared" si="70"/>
        <v>0</v>
      </c>
      <c r="X123" s="83">
        <f t="shared" si="70"/>
        <v>0</v>
      </c>
      <c r="Y123" s="83">
        <f t="shared" si="70"/>
        <v>0</v>
      </c>
      <c r="Z123" s="83">
        <f t="shared" si="70"/>
        <v>0</v>
      </c>
      <c r="AA123" s="83">
        <f t="shared" si="70"/>
        <v>0</v>
      </c>
      <c r="AB123" s="83">
        <f t="shared" si="70"/>
        <v>0</v>
      </c>
      <c r="AC123" s="83">
        <f t="shared" si="70"/>
        <v>0</v>
      </c>
      <c r="AD123" s="83">
        <f t="shared" si="70"/>
        <v>0</v>
      </c>
      <c r="AE123" s="83">
        <f t="shared" si="71"/>
        <v>0</v>
      </c>
      <c r="AF123" s="83"/>
      <c r="AH123" s="83"/>
      <c r="AI123" s="83"/>
      <c r="BB123" s="101">
        <f t="shared" si="50"/>
        <v>0</v>
      </c>
      <c r="BD123" s="112">
        <f t="shared" si="63"/>
        <v>0</v>
      </c>
      <c r="BE123" s="136">
        <f t="shared" si="64"/>
        <v>0</v>
      </c>
      <c r="BF123" s="137">
        <f t="shared" si="65"/>
        <v>0</v>
      </c>
      <c r="BG123" s="113">
        <f t="shared" si="66"/>
        <v>0</v>
      </c>
    </row>
    <row r="124" spans="1:59" s="62" customFormat="1" outlineLevel="1" x14ac:dyDescent="0.25">
      <c r="A124" s="62" t="str">
        <f t="shared" si="67"/>
        <v>MURREYSCOMMERCIAL35CW1</v>
      </c>
      <c r="B124" s="81" t="s">
        <v>743</v>
      </c>
      <c r="C124" s="81" t="s">
        <v>744</v>
      </c>
      <c r="D124" s="82">
        <v>21.21</v>
      </c>
      <c r="E124" s="82">
        <v>21.41</v>
      </c>
      <c r="F124" s="83">
        <v>2205.84</v>
      </c>
      <c r="G124" s="83">
        <v>2205.84</v>
      </c>
      <c r="H124" s="83">
        <v>2205.23</v>
      </c>
      <c r="I124" s="83">
        <v>2189.17</v>
      </c>
      <c r="J124" s="83">
        <v>2183.8200000000002</v>
      </c>
      <c r="K124" s="83">
        <v>2167.7600000000002</v>
      </c>
      <c r="L124" s="83">
        <v>2141</v>
      </c>
      <c r="M124" s="83">
        <v>2114.75</v>
      </c>
      <c r="N124" s="83">
        <v>2088.38</v>
      </c>
      <c r="O124" s="83">
        <v>1835.81</v>
      </c>
      <c r="P124" s="83">
        <v>1574.02</v>
      </c>
      <c r="Q124" s="83">
        <v>1574.02</v>
      </c>
      <c r="R124" s="116">
        <f t="shared" si="68"/>
        <v>24485.640000000003</v>
      </c>
      <c r="S124" s="83">
        <f t="shared" si="69"/>
        <v>104</v>
      </c>
      <c r="T124" s="83">
        <f t="shared" si="69"/>
        <v>104</v>
      </c>
      <c r="U124" s="83">
        <f t="shared" si="70"/>
        <v>103</v>
      </c>
      <c r="V124" s="83">
        <f t="shared" si="70"/>
        <v>102.24988323213452</v>
      </c>
      <c r="W124" s="83">
        <f t="shared" si="70"/>
        <v>102</v>
      </c>
      <c r="X124" s="83">
        <f t="shared" si="70"/>
        <v>101.24988323213452</v>
      </c>
      <c r="Y124" s="83">
        <f t="shared" si="70"/>
        <v>100</v>
      </c>
      <c r="Z124" s="83">
        <f t="shared" si="70"/>
        <v>98.773937412424104</v>
      </c>
      <c r="AA124" s="83">
        <f t="shared" si="70"/>
        <v>97.542269967305003</v>
      </c>
      <c r="AB124" s="83">
        <f t="shared" si="70"/>
        <v>85.745446053246141</v>
      </c>
      <c r="AC124" s="83">
        <f t="shared" si="70"/>
        <v>73.517982251284451</v>
      </c>
      <c r="AD124" s="83">
        <f t="shared" si="70"/>
        <v>73.517982251284451</v>
      </c>
      <c r="AE124" s="83">
        <f t="shared" si="71"/>
        <v>95.466448699984426</v>
      </c>
      <c r="AF124" s="83"/>
      <c r="AH124" s="83"/>
      <c r="AI124" s="83"/>
      <c r="BB124" s="101">
        <f t="shared" si="50"/>
        <v>24527.239999999998</v>
      </c>
      <c r="BD124" s="112">
        <f t="shared" si="63"/>
        <v>21.51</v>
      </c>
      <c r="BE124" s="136">
        <f t="shared" si="64"/>
        <v>24641.799738439979</v>
      </c>
      <c r="BF124" s="137">
        <f t="shared" si="65"/>
        <v>114.55973843998072</v>
      </c>
      <c r="BG124" s="113">
        <f t="shared" si="66"/>
        <v>4.670714619336735E-3</v>
      </c>
    </row>
    <row r="125" spans="1:59" s="62" customFormat="1" outlineLevel="1" x14ac:dyDescent="0.25">
      <c r="A125" s="62" t="str">
        <f t="shared" si="67"/>
        <v>MURREYSCOMMERCIAL65CW1</v>
      </c>
      <c r="B125" s="81" t="s">
        <v>745</v>
      </c>
      <c r="C125" s="81" t="s">
        <v>746</v>
      </c>
      <c r="D125" s="82">
        <v>31.7</v>
      </c>
      <c r="E125" s="82">
        <v>31.97</v>
      </c>
      <c r="F125" s="83">
        <v>2155.6</v>
      </c>
      <c r="G125" s="83">
        <v>2108.06</v>
      </c>
      <c r="H125" s="83">
        <v>2089.39</v>
      </c>
      <c r="I125" s="83">
        <v>1974.15</v>
      </c>
      <c r="J125" s="83">
        <v>1998.13</v>
      </c>
      <c r="K125" s="83">
        <v>2150.0099999999998</v>
      </c>
      <c r="L125" s="83">
        <v>2086.04</v>
      </c>
      <c r="M125" s="83">
        <v>2212.14</v>
      </c>
      <c r="N125" s="83">
        <v>2226.1750000000002</v>
      </c>
      <c r="O125" s="83">
        <v>2226.1750000000002</v>
      </c>
      <c r="P125" s="83">
        <v>2252.2200000000003</v>
      </c>
      <c r="Q125" s="83">
        <v>2220.16</v>
      </c>
      <c r="R125" s="116">
        <f t="shared" si="68"/>
        <v>25698.249999999996</v>
      </c>
      <c r="S125" s="83">
        <f t="shared" si="69"/>
        <v>68</v>
      </c>
      <c r="T125" s="83">
        <f t="shared" si="69"/>
        <v>66.500315457413251</v>
      </c>
      <c r="U125" s="83">
        <f t="shared" si="70"/>
        <v>65.354707538317172</v>
      </c>
      <c r="V125" s="83">
        <f t="shared" si="70"/>
        <v>61.750078198310923</v>
      </c>
      <c r="W125" s="83">
        <f t="shared" si="70"/>
        <v>62.50015639662184</v>
      </c>
      <c r="X125" s="83">
        <f t="shared" si="70"/>
        <v>67.25086018142008</v>
      </c>
      <c r="Y125" s="83">
        <f t="shared" si="70"/>
        <v>65.249921801689084</v>
      </c>
      <c r="Z125" s="83">
        <f t="shared" si="70"/>
        <v>69.194244604316552</v>
      </c>
      <c r="AA125" s="83">
        <f t="shared" si="70"/>
        <v>69.633249921801692</v>
      </c>
      <c r="AB125" s="83">
        <f t="shared" si="70"/>
        <v>69.633249921801692</v>
      </c>
      <c r="AC125" s="83">
        <f t="shared" si="70"/>
        <v>70.447919924929636</v>
      </c>
      <c r="AD125" s="83">
        <f t="shared" si="70"/>
        <v>69.445104785736632</v>
      </c>
      <c r="AE125" s="83">
        <f t="shared" si="71"/>
        <v>67.079984061029876</v>
      </c>
      <c r="AF125" s="83"/>
      <c r="AH125" s="83"/>
      <c r="AI125" s="83"/>
      <c r="BB125" s="101">
        <f t="shared" si="50"/>
        <v>25734.565085173501</v>
      </c>
      <c r="BD125" s="112">
        <f t="shared" si="63"/>
        <v>32.119999999999997</v>
      </c>
      <c r="BE125" s="136">
        <f t="shared" si="64"/>
        <v>25855.309056483355</v>
      </c>
      <c r="BF125" s="137">
        <f t="shared" si="65"/>
        <v>120.7439713098538</v>
      </c>
      <c r="BG125" s="113">
        <f t="shared" si="66"/>
        <v>4.6918986549890533E-3</v>
      </c>
    </row>
    <row r="126" spans="1:59" s="62" customFormat="1" outlineLevel="1" x14ac:dyDescent="0.25">
      <c r="A126" s="62" t="str">
        <f t="shared" si="67"/>
        <v>MURREYSCOMMERCIAL95CW1</v>
      </c>
      <c r="B126" s="81" t="s">
        <v>747</v>
      </c>
      <c r="C126" s="81" t="s">
        <v>748</v>
      </c>
      <c r="D126" s="82">
        <v>44.4</v>
      </c>
      <c r="E126" s="82">
        <v>44.78</v>
      </c>
      <c r="F126" s="83">
        <v>2988.6749999999997</v>
      </c>
      <c r="G126" s="83">
        <v>3019.2</v>
      </c>
      <c r="H126" s="83">
        <v>2989.06</v>
      </c>
      <c r="I126" s="83">
        <v>2910.71</v>
      </c>
      <c r="J126" s="83">
        <v>2821.18</v>
      </c>
      <c r="K126" s="83">
        <v>2989.08</v>
      </c>
      <c r="L126" s="83">
        <v>3078.63</v>
      </c>
      <c r="M126" s="83">
        <v>3154.2300000000005</v>
      </c>
      <c r="N126" s="83">
        <v>3199.13</v>
      </c>
      <c r="O126" s="83">
        <v>3300.1499999999996</v>
      </c>
      <c r="P126" s="83">
        <v>3367.5</v>
      </c>
      <c r="Q126" s="83">
        <v>3300.15</v>
      </c>
      <c r="R126" s="116">
        <f t="shared" si="68"/>
        <v>37117.695</v>
      </c>
      <c r="S126" s="83">
        <f t="shared" si="69"/>
        <v>67.3125</v>
      </c>
      <c r="T126" s="83">
        <f t="shared" si="69"/>
        <v>68</v>
      </c>
      <c r="U126" s="83">
        <f t="shared" si="70"/>
        <v>66.749888343010269</v>
      </c>
      <c r="V126" s="83">
        <f t="shared" si="70"/>
        <v>65.000223313979461</v>
      </c>
      <c r="W126" s="83">
        <f t="shared" si="70"/>
        <v>63.000893255917816</v>
      </c>
      <c r="X126" s="83">
        <f t="shared" si="70"/>
        <v>66.750334970969178</v>
      </c>
      <c r="Y126" s="83">
        <f t="shared" si="70"/>
        <v>68.750111656989731</v>
      </c>
      <c r="Z126" s="83">
        <f t="shared" si="70"/>
        <v>70.438365341670391</v>
      </c>
      <c r="AA126" s="83">
        <f t="shared" si="70"/>
        <v>71.441045109423854</v>
      </c>
      <c r="AB126" s="83">
        <f t="shared" si="70"/>
        <v>73.696962929879405</v>
      </c>
      <c r="AC126" s="83">
        <f t="shared" si="70"/>
        <v>75.200982581509606</v>
      </c>
      <c r="AD126" s="83">
        <f t="shared" si="70"/>
        <v>73.696962929879405</v>
      </c>
      <c r="AE126" s="83">
        <f t="shared" si="71"/>
        <v>69.169855869435764</v>
      </c>
      <c r="AF126" s="83"/>
      <c r="AH126" s="83"/>
      <c r="AI126" s="83"/>
      <c r="BB126" s="101">
        <f t="shared" si="50"/>
        <v>37169.113750000004</v>
      </c>
      <c r="BD126" s="112">
        <f t="shared" si="63"/>
        <v>44.99</v>
      </c>
      <c r="BE126" s="136">
        <f t="shared" si="64"/>
        <v>37343.421786790983</v>
      </c>
      <c r="BF126" s="137">
        <f t="shared" si="65"/>
        <v>174.3080367909788</v>
      </c>
      <c r="BG126" s="113">
        <f t="shared" si="66"/>
        <v>4.6895935685574101E-3</v>
      </c>
    </row>
    <row r="127" spans="1:59" s="62" customFormat="1" outlineLevel="1" x14ac:dyDescent="0.25">
      <c r="A127" s="62" t="str">
        <f t="shared" si="67"/>
        <v>MURREYSCOMMERCIALF1YD1W</v>
      </c>
      <c r="B127" s="81" t="s">
        <v>749</v>
      </c>
      <c r="C127" s="81" t="s">
        <v>750</v>
      </c>
      <c r="D127" s="82">
        <v>101.88</v>
      </c>
      <c r="E127" s="82">
        <v>102.88</v>
      </c>
      <c r="F127" s="83">
        <v>713.16</v>
      </c>
      <c r="G127" s="83">
        <v>713.16</v>
      </c>
      <c r="H127" s="83">
        <v>720.16</v>
      </c>
      <c r="I127" s="83">
        <v>823.04</v>
      </c>
      <c r="J127" s="83">
        <v>720.16</v>
      </c>
      <c r="K127" s="83">
        <v>668.72</v>
      </c>
      <c r="L127" s="83">
        <v>720.16</v>
      </c>
      <c r="M127" s="83">
        <v>722.26</v>
      </c>
      <c r="N127" s="83">
        <v>670.68000000000006</v>
      </c>
      <c r="O127" s="83">
        <v>619.07999999999993</v>
      </c>
      <c r="P127" s="83">
        <v>619.07999999999993</v>
      </c>
      <c r="Q127" s="83">
        <v>799.65000000000009</v>
      </c>
      <c r="R127" s="116">
        <f t="shared" si="68"/>
        <v>8509.31</v>
      </c>
      <c r="S127" s="83">
        <f t="shared" si="69"/>
        <v>7</v>
      </c>
      <c r="T127" s="83">
        <f t="shared" si="69"/>
        <v>7</v>
      </c>
      <c r="U127" s="83">
        <f t="shared" si="70"/>
        <v>7</v>
      </c>
      <c r="V127" s="83">
        <f t="shared" si="70"/>
        <v>8</v>
      </c>
      <c r="W127" s="83">
        <f t="shared" si="70"/>
        <v>7</v>
      </c>
      <c r="X127" s="83">
        <f t="shared" si="70"/>
        <v>6.5000000000000009</v>
      </c>
      <c r="Y127" s="83">
        <f t="shared" si="70"/>
        <v>7</v>
      </c>
      <c r="Z127" s="83">
        <f t="shared" si="70"/>
        <v>7.0204121306376361</v>
      </c>
      <c r="AA127" s="83">
        <f t="shared" si="70"/>
        <v>6.5190513219284609</v>
      </c>
      <c r="AB127" s="83">
        <f t="shared" si="70"/>
        <v>6.0174961119751158</v>
      </c>
      <c r="AC127" s="83">
        <f t="shared" si="70"/>
        <v>6.0174961119751158</v>
      </c>
      <c r="AD127" s="83">
        <f t="shared" si="70"/>
        <v>7.7726477449455693</v>
      </c>
      <c r="AE127" s="83">
        <f t="shared" si="71"/>
        <v>6.9039252851218258</v>
      </c>
      <c r="AF127" s="83"/>
      <c r="AH127" s="83"/>
      <c r="AI127" s="83"/>
      <c r="BB127" s="101">
        <f t="shared" si="50"/>
        <v>8523.3100000000013</v>
      </c>
      <c r="BD127" s="112">
        <f t="shared" si="63"/>
        <v>103.36</v>
      </c>
      <c r="BE127" s="136">
        <f t="shared" si="64"/>
        <v>8563.0766096423031</v>
      </c>
      <c r="BF127" s="137">
        <f t="shared" si="65"/>
        <v>39.766609642301773</v>
      </c>
      <c r="BG127" s="113">
        <f t="shared" si="66"/>
        <v>4.6656298600311107E-3</v>
      </c>
    </row>
    <row r="128" spans="1:59" s="62" customFormat="1" outlineLevel="1" x14ac:dyDescent="0.25">
      <c r="A128" s="62" t="str">
        <f t="shared" si="67"/>
        <v>MURREYSCOMMERCIALR1YD1W</v>
      </c>
      <c r="B128" s="81" t="s">
        <v>751</v>
      </c>
      <c r="C128" s="81" t="s">
        <v>752</v>
      </c>
      <c r="D128" s="82">
        <v>101.88</v>
      </c>
      <c r="E128" s="82">
        <v>102.88</v>
      </c>
      <c r="F128" s="83">
        <v>36347.640000000007</v>
      </c>
      <c r="G128" s="83">
        <v>36702.269999999997</v>
      </c>
      <c r="H128" s="83">
        <v>37138.39</v>
      </c>
      <c r="I128" s="83">
        <v>36254.910000000003</v>
      </c>
      <c r="J128" s="83">
        <v>36678.68</v>
      </c>
      <c r="K128" s="83">
        <v>36470.959999999999</v>
      </c>
      <c r="L128" s="83">
        <v>37139.68</v>
      </c>
      <c r="M128" s="83">
        <v>37583.040000000001</v>
      </c>
      <c r="N128" s="83">
        <v>37273.83</v>
      </c>
      <c r="O128" s="83">
        <v>37222.22</v>
      </c>
      <c r="P128" s="83">
        <v>37041.649999999994</v>
      </c>
      <c r="Q128" s="83">
        <v>37686.520000000004</v>
      </c>
      <c r="R128" s="116">
        <f t="shared" si="68"/>
        <v>443539.79000000004</v>
      </c>
      <c r="S128" s="83">
        <f t="shared" si="69"/>
        <v>356.76914016489997</v>
      </c>
      <c r="T128" s="83">
        <f t="shared" si="69"/>
        <v>360.25</v>
      </c>
      <c r="U128" s="83">
        <f t="shared" si="70"/>
        <v>360.98746111975117</v>
      </c>
      <c r="V128" s="83">
        <f t="shared" si="70"/>
        <v>352.39998055987564</v>
      </c>
      <c r="W128" s="83">
        <f t="shared" si="70"/>
        <v>356.51905132192849</v>
      </c>
      <c r="X128" s="83">
        <f t="shared" si="70"/>
        <v>354.5</v>
      </c>
      <c r="Y128" s="83">
        <f t="shared" si="70"/>
        <v>361</v>
      </c>
      <c r="Z128" s="83">
        <f t="shared" si="70"/>
        <v>365.30948678071542</v>
      </c>
      <c r="AA128" s="83">
        <f t="shared" si="70"/>
        <v>362.30394634525663</v>
      </c>
      <c r="AB128" s="83">
        <f t="shared" si="70"/>
        <v>361.80229393468119</v>
      </c>
      <c r="AC128" s="83">
        <f t="shared" si="70"/>
        <v>360.04714230171066</v>
      </c>
      <c r="AD128" s="83">
        <f t="shared" si="70"/>
        <v>366.31531881804051</v>
      </c>
      <c r="AE128" s="83">
        <f t="shared" si="71"/>
        <v>359.85031844557165</v>
      </c>
      <c r="AF128" s="83"/>
      <c r="AH128" s="83"/>
      <c r="AI128" s="83"/>
      <c r="BB128" s="101">
        <f t="shared" si="50"/>
        <v>444256.80914016487</v>
      </c>
      <c r="BD128" s="112">
        <f t="shared" si="63"/>
        <v>103.36</v>
      </c>
      <c r="BE128" s="136">
        <f t="shared" si="64"/>
        <v>446329.54697441135</v>
      </c>
      <c r="BF128" s="137">
        <f t="shared" si="65"/>
        <v>2072.7378342464799</v>
      </c>
      <c r="BG128" s="113">
        <f t="shared" si="66"/>
        <v>4.665629860031076E-3</v>
      </c>
    </row>
    <row r="129" spans="1:59" s="62" customFormat="1" outlineLevel="1" x14ac:dyDescent="0.25">
      <c r="A129" s="62" t="str">
        <f t="shared" si="67"/>
        <v>MURREYSCOMMERCIALF1YD2W</v>
      </c>
      <c r="B129" s="81" t="s">
        <v>753</v>
      </c>
      <c r="C129" s="81" t="s">
        <v>754</v>
      </c>
      <c r="D129" s="82">
        <v>203.77</v>
      </c>
      <c r="E129" s="82">
        <v>205.76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116">
        <f t="shared" si="68"/>
        <v>0</v>
      </c>
      <c r="S129" s="83">
        <f t="shared" si="69"/>
        <v>0</v>
      </c>
      <c r="T129" s="83">
        <f t="shared" si="69"/>
        <v>0</v>
      </c>
      <c r="U129" s="83">
        <f t="shared" si="70"/>
        <v>0</v>
      </c>
      <c r="V129" s="83">
        <f t="shared" si="70"/>
        <v>0</v>
      </c>
      <c r="W129" s="83">
        <f t="shared" si="70"/>
        <v>0</v>
      </c>
      <c r="X129" s="83">
        <f t="shared" si="70"/>
        <v>0</v>
      </c>
      <c r="Y129" s="83">
        <f t="shared" si="70"/>
        <v>0</v>
      </c>
      <c r="Z129" s="83">
        <f t="shared" si="70"/>
        <v>0</v>
      </c>
      <c r="AA129" s="83">
        <f t="shared" si="70"/>
        <v>0</v>
      </c>
      <c r="AB129" s="83">
        <f t="shared" si="70"/>
        <v>0</v>
      </c>
      <c r="AC129" s="83">
        <f t="shared" si="70"/>
        <v>0</v>
      </c>
      <c r="AD129" s="83">
        <f t="shared" si="70"/>
        <v>0</v>
      </c>
      <c r="AE129" s="83">
        <f t="shared" si="71"/>
        <v>0</v>
      </c>
      <c r="AF129" s="83"/>
      <c r="AH129" s="83"/>
      <c r="AI129" s="83"/>
      <c r="BB129" s="101">
        <f t="shared" si="50"/>
        <v>0</v>
      </c>
      <c r="BD129" s="112">
        <f t="shared" si="63"/>
        <v>206.72</v>
      </c>
      <c r="BE129" s="136">
        <f t="shared" si="64"/>
        <v>0</v>
      </c>
      <c r="BF129" s="137">
        <f t="shared" si="65"/>
        <v>0</v>
      </c>
      <c r="BG129" s="113">
        <f t="shared" si="66"/>
        <v>0</v>
      </c>
    </row>
    <row r="130" spans="1:59" s="62" customFormat="1" outlineLevel="1" x14ac:dyDescent="0.25">
      <c r="A130" s="62" t="str">
        <f t="shared" si="67"/>
        <v>MURREYSCOMMERCIALR1YD2W</v>
      </c>
      <c r="B130" s="81" t="s">
        <v>755</v>
      </c>
      <c r="C130" s="81" t="s">
        <v>756</v>
      </c>
      <c r="D130" s="82">
        <v>203.77</v>
      </c>
      <c r="E130" s="82">
        <v>205.76</v>
      </c>
      <c r="F130" s="83">
        <v>1018.85</v>
      </c>
      <c r="G130" s="83">
        <v>1018.85</v>
      </c>
      <c r="H130" s="83">
        <v>1028.8</v>
      </c>
      <c r="I130" s="83">
        <v>823.04</v>
      </c>
      <c r="J130" s="83">
        <v>1028.8</v>
      </c>
      <c r="K130" s="83">
        <v>874.48</v>
      </c>
      <c r="L130" s="83">
        <v>1311.72</v>
      </c>
      <c r="M130" s="83">
        <v>1650.96</v>
      </c>
      <c r="N130" s="83">
        <v>1264.0100000000002</v>
      </c>
      <c r="O130" s="83">
        <v>515.93000000000006</v>
      </c>
      <c r="P130" s="83">
        <v>412.74</v>
      </c>
      <c r="Q130" s="83">
        <v>412.74</v>
      </c>
      <c r="R130" s="116">
        <f t="shared" si="68"/>
        <v>11360.92</v>
      </c>
      <c r="S130" s="83">
        <f t="shared" si="69"/>
        <v>5</v>
      </c>
      <c r="T130" s="83">
        <f t="shared" si="69"/>
        <v>5</v>
      </c>
      <c r="U130" s="83">
        <f t="shared" si="70"/>
        <v>5</v>
      </c>
      <c r="V130" s="83">
        <f t="shared" si="70"/>
        <v>4</v>
      </c>
      <c r="W130" s="83">
        <f t="shared" si="70"/>
        <v>5</v>
      </c>
      <c r="X130" s="83">
        <f t="shared" si="70"/>
        <v>4.25</v>
      </c>
      <c r="Y130" s="83">
        <f t="shared" si="70"/>
        <v>6.375</v>
      </c>
      <c r="Z130" s="83">
        <f t="shared" si="70"/>
        <v>8.0237169517884919</v>
      </c>
      <c r="AA130" s="83">
        <f t="shared" si="70"/>
        <v>6.1431279160186643</v>
      </c>
      <c r="AB130" s="83">
        <f t="shared" si="70"/>
        <v>2.5074358475894249</v>
      </c>
      <c r="AC130" s="83">
        <f t="shared" si="70"/>
        <v>2.005929237947123</v>
      </c>
      <c r="AD130" s="83">
        <f t="shared" si="70"/>
        <v>2.005929237947123</v>
      </c>
      <c r="AE130" s="83">
        <f t="shared" si="71"/>
        <v>4.6092615992742356</v>
      </c>
      <c r="AF130" s="83"/>
      <c r="AH130" s="83"/>
      <c r="AI130" s="83"/>
      <c r="BB130" s="101">
        <f t="shared" si="50"/>
        <v>11380.82</v>
      </c>
      <c r="BD130" s="112">
        <f t="shared" si="63"/>
        <v>206.72</v>
      </c>
      <c r="BE130" s="136">
        <f t="shared" si="64"/>
        <v>11433.91869362364</v>
      </c>
      <c r="BF130" s="137">
        <f t="shared" si="65"/>
        <v>53.098693623640429</v>
      </c>
      <c r="BG130" s="113">
        <f t="shared" si="66"/>
        <v>4.665629860031213E-3</v>
      </c>
    </row>
    <row r="131" spans="1:59" s="62" customFormat="1" outlineLevel="1" x14ac:dyDescent="0.25">
      <c r="A131" s="62" t="str">
        <f t="shared" si="67"/>
        <v>MURREYSCOMMERCIALR1YD3W</v>
      </c>
      <c r="B131" s="81" t="s">
        <v>757</v>
      </c>
      <c r="C131" s="81" t="s">
        <v>758</v>
      </c>
      <c r="D131" s="82">
        <v>305.64999999999998</v>
      </c>
      <c r="E131" s="82">
        <v>308.64</v>
      </c>
      <c r="F131" s="83">
        <v>1833.9</v>
      </c>
      <c r="G131" s="83">
        <v>1833.9</v>
      </c>
      <c r="H131" s="83">
        <v>1780.62</v>
      </c>
      <c r="I131" s="83">
        <v>1543.2</v>
      </c>
      <c r="J131" s="83">
        <v>1543.2</v>
      </c>
      <c r="K131" s="83">
        <v>1543.2</v>
      </c>
      <c r="L131" s="83">
        <v>1851.84</v>
      </c>
      <c r="M131" s="83">
        <v>1857.3</v>
      </c>
      <c r="N131" s="83">
        <v>1857.3</v>
      </c>
      <c r="O131" s="83">
        <v>1857.3</v>
      </c>
      <c r="P131" s="83">
        <v>1857.3</v>
      </c>
      <c r="Q131" s="83">
        <v>1857.3</v>
      </c>
      <c r="R131" s="116">
        <f t="shared" si="68"/>
        <v>21216.359999999997</v>
      </c>
      <c r="S131" s="83">
        <f t="shared" si="69"/>
        <v>6.0000000000000009</v>
      </c>
      <c r="T131" s="83">
        <f t="shared" si="69"/>
        <v>6.0000000000000009</v>
      </c>
      <c r="U131" s="83">
        <f t="shared" si="70"/>
        <v>5.7692457231726282</v>
      </c>
      <c r="V131" s="83">
        <f t="shared" si="70"/>
        <v>5</v>
      </c>
      <c r="W131" s="83">
        <f t="shared" si="70"/>
        <v>5</v>
      </c>
      <c r="X131" s="83">
        <f t="shared" si="70"/>
        <v>5</v>
      </c>
      <c r="Y131" s="83">
        <f t="shared" si="70"/>
        <v>6</v>
      </c>
      <c r="Z131" s="83">
        <f t="shared" si="70"/>
        <v>6.0176905132192848</v>
      </c>
      <c r="AA131" s="83">
        <f t="shared" si="70"/>
        <v>6.0176905132192848</v>
      </c>
      <c r="AB131" s="83">
        <f t="shared" si="70"/>
        <v>6.0176905132192848</v>
      </c>
      <c r="AC131" s="83">
        <f t="shared" si="70"/>
        <v>6.0176905132192848</v>
      </c>
      <c r="AD131" s="83">
        <f t="shared" si="70"/>
        <v>6.0176905132192848</v>
      </c>
      <c r="AE131" s="83">
        <f t="shared" si="71"/>
        <v>5.7381415241057541</v>
      </c>
      <c r="AF131" s="83"/>
      <c r="AH131" s="83"/>
      <c r="AI131" s="83"/>
      <c r="BB131" s="101">
        <f t="shared" si="50"/>
        <v>21252.239999999998</v>
      </c>
      <c r="BD131" s="112">
        <f t="shared" si="63"/>
        <v>310.08</v>
      </c>
      <c r="BE131" s="136">
        <f t="shared" si="64"/>
        <v>21351.395085536547</v>
      </c>
      <c r="BF131" s="137">
        <f t="shared" si="65"/>
        <v>99.15508553654945</v>
      </c>
      <c r="BG131" s="113">
        <f t="shared" si="66"/>
        <v>4.6656298600311992E-3</v>
      </c>
    </row>
    <row r="132" spans="1:59" s="62" customFormat="1" outlineLevel="1" x14ac:dyDescent="0.25">
      <c r="A132" s="62" t="str">
        <f t="shared" si="67"/>
        <v>MURREYSCOMMERCIALR1YDEOW</v>
      </c>
      <c r="B132" s="81" t="s">
        <v>759</v>
      </c>
      <c r="C132" s="81" t="s">
        <v>760</v>
      </c>
      <c r="D132" s="82">
        <v>0</v>
      </c>
      <c r="E132" s="82">
        <v>0</v>
      </c>
      <c r="F132" s="83">
        <v>0</v>
      </c>
      <c r="G132" s="83">
        <v>0</v>
      </c>
      <c r="H132" s="83">
        <v>0</v>
      </c>
      <c r="I132" s="83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  <c r="Q132" s="83">
        <v>0</v>
      </c>
      <c r="R132" s="116">
        <f t="shared" si="68"/>
        <v>0</v>
      </c>
      <c r="S132" s="83">
        <f t="shared" si="69"/>
        <v>0</v>
      </c>
      <c r="T132" s="83">
        <f t="shared" si="69"/>
        <v>0</v>
      </c>
      <c r="U132" s="83">
        <f t="shared" ref="U132:AD147" si="72">+IFERROR(H132/$E132,0)</f>
        <v>0</v>
      </c>
      <c r="V132" s="83">
        <f t="shared" si="72"/>
        <v>0</v>
      </c>
      <c r="W132" s="83">
        <f t="shared" si="72"/>
        <v>0</v>
      </c>
      <c r="X132" s="83">
        <f t="shared" si="72"/>
        <v>0</v>
      </c>
      <c r="Y132" s="83">
        <f t="shared" si="72"/>
        <v>0</v>
      </c>
      <c r="Z132" s="83">
        <f t="shared" si="72"/>
        <v>0</v>
      </c>
      <c r="AA132" s="83">
        <f t="shared" si="72"/>
        <v>0</v>
      </c>
      <c r="AB132" s="83">
        <f t="shared" si="72"/>
        <v>0</v>
      </c>
      <c r="AC132" s="83">
        <f t="shared" si="72"/>
        <v>0</v>
      </c>
      <c r="AD132" s="83">
        <f t="shared" si="72"/>
        <v>0</v>
      </c>
      <c r="AE132" s="83">
        <f t="shared" si="71"/>
        <v>0</v>
      </c>
      <c r="AF132" s="83"/>
      <c r="AH132" s="83"/>
      <c r="AI132" s="83"/>
      <c r="BB132" s="101">
        <f t="shared" si="50"/>
        <v>0</v>
      </c>
      <c r="BD132" s="112">
        <f t="shared" si="63"/>
        <v>0</v>
      </c>
      <c r="BE132" s="136">
        <f t="shared" si="64"/>
        <v>0</v>
      </c>
      <c r="BF132" s="137">
        <f t="shared" si="65"/>
        <v>0</v>
      </c>
      <c r="BG132" s="113">
        <f t="shared" si="66"/>
        <v>0</v>
      </c>
    </row>
    <row r="133" spans="1:59" s="62" customFormat="1" outlineLevel="1" x14ac:dyDescent="0.25">
      <c r="A133" s="62" t="str">
        <f t="shared" si="67"/>
        <v>MURREYSCOMMERCIALR1YDTPU</v>
      </c>
      <c r="B133" s="81" t="s">
        <v>761</v>
      </c>
      <c r="C133" s="81" t="s">
        <v>762</v>
      </c>
      <c r="D133" s="82">
        <v>102.8</v>
      </c>
      <c r="E133" s="82">
        <v>103.72</v>
      </c>
      <c r="F133" s="83">
        <v>205.6</v>
      </c>
      <c r="G133" s="83">
        <v>25.7</v>
      </c>
      <c r="H133" s="83">
        <v>77.790000000000006</v>
      </c>
      <c r="I133" s="83">
        <v>51.86</v>
      </c>
      <c r="J133" s="83">
        <v>129.65</v>
      </c>
      <c r="K133" s="83">
        <v>233.37</v>
      </c>
      <c r="L133" s="83">
        <v>25.93</v>
      </c>
      <c r="M133" s="83">
        <v>80.150000000000006</v>
      </c>
      <c r="N133" s="83">
        <v>140.74</v>
      </c>
      <c r="O133" s="83">
        <v>84.45</v>
      </c>
      <c r="P133" s="83">
        <v>197.03</v>
      </c>
      <c r="Q133" s="83">
        <v>225.19</v>
      </c>
      <c r="R133" s="116">
        <f t="shared" si="68"/>
        <v>1477.46</v>
      </c>
      <c r="S133" s="83">
        <f t="shared" si="69"/>
        <v>2</v>
      </c>
      <c r="T133" s="83">
        <f t="shared" si="69"/>
        <v>0.25</v>
      </c>
      <c r="U133" s="83">
        <f t="shared" si="72"/>
        <v>0.75000000000000011</v>
      </c>
      <c r="V133" s="83">
        <f t="shared" si="72"/>
        <v>0.5</v>
      </c>
      <c r="W133" s="83">
        <f t="shared" si="72"/>
        <v>1.25</v>
      </c>
      <c r="X133" s="83">
        <f t="shared" si="72"/>
        <v>2.25</v>
      </c>
      <c r="Y133" s="83">
        <f t="shared" si="72"/>
        <v>0.25</v>
      </c>
      <c r="Z133" s="83">
        <f t="shared" si="72"/>
        <v>0.77275356729656774</v>
      </c>
      <c r="AA133" s="83">
        <f t="shared" si="72"/>
        <v>1.3569224836097187</v>
      </c>
      <c r="AB133" s="83">
        <f t="shared" si="72"/>
        <v>0.81421133821828007</v>
      </c>
      <c r="AC133" s="83">
        <f t="shared" si="72"/>
        <v>1.8996336290011571</v>
      </c>
      <c r="AD133" s="83">
        <f t="shared" si="72"/>
        <v>2.1711338218279983</v>
      </c>
      <c r="AE133" s="83">
        <f t="shared" si="71"/>
        <v>1.1887212366628102</v>
      </c>
      <c r="AF133" s="83"/>
      <c r="AH133" s="83"/>
      <c r="AI133" s="83"/>
      <c r="BB133" s="101">
        <f t="shared" si="50"/>
        <v>1479.53</v>
      </c>
      <c r="BD133" s="112">
        <f t="shared" si="63"/>
        <v>104.21</v>
      </c>
      <c r="BE133" s="136">
        <f t="shared" si="64"/>
        <v>1486.5196808715773</v>
      </c>
      <c r="BF133" s="137">
        <f t="shared" si="65"/>
        <v>6.9896808715773204</v>
      </c>
      <c r="BG133" s="113">
        <f t="shared" si="66"/>
        <v>4.7242576166602367E-3</v>
      </c>
    </row>
    <row r="134" spans="1:59" s="62" customFormat="1" outlineLevel="1" x14ac:dyDescent="0.25">
      <c r="A134" s="62" t="str">
        <f t="shared" si="67"/>
        <v>MURREYSCOMMERCIALR1.5YD1W</v>
      </c>
      <c r="B134" s="81" t="s">
        <v>763</v>
      </c>
      <c r="C134" s="81" t="s">
        <v>764</v>
      </c>
      <c r="D134" s="82">
        <v>140.97999999999999</v>
      </c>
      <c r="E134" s="82">
        <v>142.41</v>
      </c>
      <c r="F134" s="83">
        <v>9445.66</v>
      </c>
      <c r="G134" s="83">
        <v>9339.93</v>
      </c>
      <c r="H134" s="83">
        <v>9541.48</v>
      </c>
      <c r="I134" s="83">
        <v>9505.869999999999</v>
      </c>
      <c r="J134" s="83">
        <v>9660.1299999999992</v>
      </c>
      <c r="K134" s="83">
        <v>10431.539999999999</v>
      </c>
      <c r="L134" s="83">
        <v>10894.37</v>
      </c>
      <c r="M134" s="83">
        <v>10995.6</v>
      </c>
      <c r="N134" s="83">
        <v>11673.9</v>
      </c>
      <c r="O134" s="83">
        <v>11602.5</v>
      </c>
      <c r="P134" s="83">
        <v>11781</v>
      </c>
      <c r="Q134" s="83">
        <v>12030.900000000001</v>
      </c>
      <c r="R134" s="116">
        <f t="shared" si="68"/>
        <v>126902.88</v>
      </c>
      <c r="S134" s="83">
        <f t="shared" si="69"/>
        <v>67</v>
      </c>
      <c r="T134" s="83">
        <f t="shared" si="69"/>
        <v>66.250035466023562</v>
      </c>
      <c r="U134" s="83">
        <f t="shared" si="72"/>
        <v>67.000070219787929</v>
      </c>
      <c r="V134" s="83">
        <f t="shared" si="72"/>
        <v>66.750017554946979</v>
      </c>
      <c r="W134" s="83">
        <f t="shared" si="72"/>
        <v>67.833228003651428</v>
      </c>
      <c r="X134" s="83">
        <f t="shared" si="72"/>
        <v>73.25005266484095</v>
      </c>
      <c r="Y134" s="83">
        <f t="shared" si="72"/>
        <v>76.500035109893972</v>
      </c>
      <c r="Z134" s="83">
        <f t="shared" si="72"/>
        <v>77.210870023172532</v>
      </c>
      <c r="AA134" s="83">
        <f t="shared" si="72"/>
        <v>81.973878238887721</v>
      </c>
      <c r="AB134" s="83">
        <f t="shared" si="72"/>
        <v>81.472508953022967</v>
      </c>
      <c r="AC134" s="83">
        <f t="shared" si="72"/>
        <v>82.72593216768486</v>
      </c>
      <c r="AD134" s="83">
        <f t="shared" si="72"/>
        <v>84.480724668211508</v>
      </c>
      <c r="AE134" s="83">
        <f t="shared" si="71"/>
        <v>74.370612755843695</v>
      </c>
      <c r="AF134" s="83"/>
      <c r="AH134" s="83"/>
      <c r="AI134" s="83"/>
      <c r="BB134" s="101">
        <f t="shared" si="50"/>
        <v>127093.4275507164</v>
      </c>
      <c r="BD134" s="112">
        <f t="shared" si="63"/>
        <v>143.08000000000001</v>
      </c>
      <c r="BE134" s="136">
        <f t="shared" si="64"/>
        <v>127691.36727727338</v>
      </c>
      <c r="BF134" s="137">
        <f t="shared" si="65"/>
        <v>597.93972655698599</v>
      </c>
      <c r="BG134" s="113">
        <f t="shared" si="66"/>
        <v>4.70472579172813E-3</v>
      </c>
    </row>
    <row r="135" spans="1:59" s="62" customFormat="1" outlineLevel="1" x14ac:dyDescent="0.25">
      <c r="A135" s="62" t="str">
        <f t="shared" si="67"/>
        <v>MURREYSCOMMERCIALF1.5YD1W</v>
      </c>
      <c r="B135" s="81" t="s">
        <v>765</v>
      </c>
      <c r="C135" s="81" t="s">
        <v>766</v>
      </c>
      <c r="D135" s="82">
        <v>140.97999999999999</v>
      </c>
      <c r="E135" s="82">
        <v>142.41</v>
      </c>
      <c r="F135" s="83">
        <v>281.95999999999998</v>
      </c>
      <c r="G135" s="83">
        <v>281.95999999999998</v>
      </c>
      <c r="H135" s="83">
        <v>284.82</v>
      </c>
      <c r="I135" s="83">
        <v>391.63</v>
      </c>
      <c r="J135" s="83">
        <v>427.23</v>
      </c>
      <c r="K135" s="83">
        <v>427.23</v>
      </c>
      <c r="L135" s="83">
        <v>427.23</v>
      </c>
      <c r="M135" s="83">
        <v>428.40000000000003</v>
      </c>
      <c r="N135" s="83">
        <v>428.40000000000003</v>
      </c>
      <c r="O135" s="83">
        <v>428.40000000000003</v>
      </c>
      <c r="P135" s="83">
        <v>428.40000000000003</v>
      </c>
      <c r="Q135" s="83">
        <v>428.40000000000003</v>
      </c>
      <c r="R135" s="116">
        <f t="shared" si="68"/>
        <v>4664.0599999999995</v>
      </c>
      <c r="S135" s="83">
        <f t="shared" si="69"/>
        <v>2</v>
      </c>
      <c r="T135" s="83">
        <f t="shared" si="69"/>
        <v>2</v>
      </c>
      <c r="U135" s="83">
        <f t="shared" si="72"/>
        <v>2</v>
      </c>
      <c r="V135" s="83">
        <f t="shared" si="72"/>
        <v>2.7500175549469841</v>
      </c>
      <c r="W135" s="83">
        <f t="shared" si="72"/>
        <v>3</v>
      </c>
      <c r="X135" s="83">
        <f t="shared" si="72"/>
        <v>3</v>
      </c>
      <c r="Y135" s="83">
        <f t="shared" si="72"/>
        <v>3</v>
      </c>
      <c r="Z135" s="83">
        <f t="shared" si="72"/>
        <v>3.0082157151885403</v>
      </c>
      <c r="AA135" s="83">
        <f t="shared" si="72"/>
        <v>3.0082157151885403</v>
      </c>
      <c r="AB135" s="83">
        <f t="shared" si="72"/>
        <v>3.0082157151885403</v>
      </c>
      <c r="AC135" s="83">
        <f t="shared" si="72"/>
        <v>3.0082157151885403</v>
      </c>
      <c r="AD135" s="83">
        <f t="shared" si="72"/>
        <v>3.0082157151885403</v>
      </c>
      <c r="AE135" s="83">
        <f t="shared" si="71"/>
        <v>2.7325913442408076</v>
      </c>
      <c r="AF135" s="83"/>
      <c r="AH135" s="83"/>
      <c r="AI135" s="83"/>
      <c r="BB135" s="101">
        <f t="shared" si="50"/>
        <v>4669.7800000000007</v>
      </c>
      <c r="BD135" s="112">
        <f t="shared" si="63"/>
        <v>143.08000000000001</v>
      </c>
      <c r="BE135" s="136">
        <f t="shared" si="64"/>
        <v>4691.750034407698</v>
      </c>
      <c r="BF135" s="137">
        <f t="shared" si="65"/>
        <v>21.970034407697312</v>
      </c>
      <c r="BG135" s="113">
        <f t="shared" si="66"/>
        <v>4.7047257917283702E-3</v>
      </c>
    </row>
    <row r="136" spans="1:59" s="62" customFormat="1" outlineLevel="1" x14ac:dyDescent="0.25">
      <c r="A136" s="62" t="str">
        <f t="shared" si="67"/>
        <v>MURREYSCOMMERCIALR1.5YD2W</v>
      </c>
      <c r="B136" s="81" t="s">
        <v>767</v>
      </c>
      <c r="C136" s="81" t="s">
        <v>768</v>
      </c>
      <c r="D136" s="82">
        <v>281.97000000000003</v>
      </c>
      <c r="E136" s="82">
        <v>284.83</v>
      </c>
      <c r="F136" s="83">
        <v>1409.85</v>
      </c>
      <c r="G136" s="83">
        <v>1409.85</v>
      </c>
      <c r="H136" s="83">
        <v>1352.94</v>
      </c>
      <c r="I136" s="83">
        <v>1139.32</v>
      </c>
      <c r="J136" s="83">
        <v>1139.32</v>
      </c>
      <c r="K136" s="83">
        <v>1139.32</v>
      </c>
      <c r="L136" s="83">
        <v>1566.56</v>
      </c>
      <c r="M136" s="83">
        <v>1713.66</v>
      </c>
      <c r="N136" s="83">
        <v>1285.25</v>
      </c>
      <c r="O136" s="83">
        <v>856.83</v>
      </c>
      <c r="P136" s="83">
        <v>856.83</v>
      </c>
      <c r="Q136" s="83">
        <v>856.83</v>
      </c>
      <c r="R136" s="116">
        <f t="shared" si="68"/>
        <v>14726.559999999998</v>
      </c>
      <c r="S136" s="83">
        <f t="shared" si="69"/>
        <v>4.9999999999999991</v>
      </c>
      <c r="T136" s="83">
        <f t="shared" si="69"/>
        <v>4.9999999999999991</v>
      </c>
      <c r="U136" s="83">
        <f t="shared" si="72"/>
        <v>4.7499912228346739</v>
      </c>
      <c r="V136" s="83">
        <f t="shared" si="72"/>
        <v>4</v>
      </c>
      <c r="W136" s="83">
        <f t="shared" si="72"/>
        <v>4</v>
      </c>
      <c r="X136" s="83">
        <f t="shared" si="72"/>
        <v>4</v>
      </c>
      <c r="Y136" s="83">
        <f t="shared" si="72"/>
        <v>5.4999824456693469</v>
      </c>
      <c r="Z136" s="83">
        <f t="shared" si="72"/>
        <v>6.0164308534915572</v>
      </c>
      <c r="AA136" s="83">
        <f t="shared" si="72"/>
        <v>4.5123406944493212</v>
      </c>
      <c r="AB136" s="83">
        <f t="shared" si="72"/>
        <v>3.0082154267457786</v>
      </c>
      <c r="AC136" s="83">
        <f t="shared" si="72"/>
        <v>3.0082154267457786</v>
      </c>
      <c r="AD136" s="83">
        <f t="shared" si="72"/>
        <v>3.0082154267457786</v>
      </c>
      <c r="AE136" s="83">
        <f t="shared" si="71"/>
        <v>4.3169492913901859</v>
      </c>
      <c r="AF136" s="83"/>
      <c r="AH136" s="83"/>
      <c r="AI136" s="83"/>
      <c r="BB136" s="101">
        <f t="shared" si="50"/>
        <v>14755.16</v>
      </c>
      <c r="BD136" s="112">
        <f t="shared" si="63"/>
        <v>286.16000000000003</v>
      </c>
      <c r="BE136" s="136">
        <f t="shared" si="64"/>
        <v>14824.058510690589</v>
      </c>
      <c r="BF136" s="137">
        <f t="shared" si="65"/>
        <v>68.898510690589319</v>
      </c>
      <c r="BG136" s="113">
        <f t="shared" si="66"/>
        <v>4.669451953797134E-3</v>
      </c>
    </row>
    <row r="137" spans="1:59" s="62" customFormat="1" outlineLevel="1" x14ac:dyDescent="0.25">
      <c r="A137" s="62" t="str">
        <f t="shared" si="67"/>
        <v>MURREYSCOMMERCIALR1.5YD3W</v>
      </c>
      <c r="B137" s="81" t="s">
        <v>769</v>
      </c>
      <c r="C137" s="81" t="s">
        <v>770</v>
      </c>
      <c r="D137" s="82">
        <v>422.95</v>
      </c>
      <c r="E137" s="82">
        <v>427.24</v>
      </c>
      <c r="F137" s="83">
        <v>0</v>
      </c>
      <c r="G137" s="83">
        <v>0</v>
      </c>
      <c r="H137" s="83">
        <v>0</v>
      </c>
      <c r="I137" s="83">
        <v>0</v>
      </c>
      <c r="J137" s="83">
        <v>0</v>
      </c>
      <c r="K137" s="83">
        <v>0</v>
      </c>
      <c r="L137" s="83">
        <v>0</v>
      </c>
      <c r="M137" s="83">
        <v>0</v>
      </c>
      <c r="N137" s="83">
        <v>0</v>
      </c>
      <c r="O137" s="83">
        <v>0</v>
      </c>
      <c r="P137" s="83">
        <v>0</v>
      </c>
      <c r="Q137" s="83">
        <v>0</v>
      </c>
      <c r="R137" s="116">
        <f t="shared" si="68"/>
        <v>0</v>
      </c>
      <c r="S137" s="83">
        <f t="shared" si="69"/>
        <v>0</v>
      </c>
      <c r="T137" s="83">
        <f t="shared" si="69"/>
        <v>0</v>
      </c>
      <c r="U137" s="83">
        <f t="shared" si="72"/>
        <v>0</v>
      </c>
      <c r="V137" s="83">
        <f t="shared" si="72"/>
        <v>0</v>
      </c>
      <c r="W137" s="83">
        <f t="shared" si="72"/>
        <v>0</v>
      </c>
      <c r="X137" s="83">
        <f t="shared" si="72"/>
        <v>0</v>
      </c>
      <c r="Y137" s="83">
        <f t="shared" si="72"/>
        <v>0</v>
      </c>
      <c r="Z137" s="83">
        <f t="shared" si="72"/>
        <v>0</v>
      </c>
      <c r="AA137" s="83">
        <f t="shared" si="72"/>
        <v>0</v>
      </c>
      <c r="AB137" s="83">
        <f t="shared" si="72"/>
        <v>0</v>
      </c>
      <c r="AC137" s="83">
        <f t="shared" si="72"/>
        <v>0</v>
      </c>
      <c r="AD137" s="83">
        <f t="shared" si="72"/>
        <v>0</v>
      </c>
      <c r="AE137" s="83">
        <f t="shared" si="71"/>
        <v>0</v>
      </c>
      <c r="AF137" s="83"/>
      <c r="AH137" s="83"/>
      <c r="AI137" s="83"/>
      <c r="BB137" s="101">
        <f t="shared" si="50"/>
        <v>0</v>
      </c>
      <c r="BD137" s="112">
        <f t="shared" si="63"/>
        <v>429.24</v>
      </c>
      <c r="BE137" s="136">
        <f t="shared" si="64"/>
        <v>0</v>
      </c>
      <c r="BF137" s="137">
        <f t="shared" si="65"/>
        <v>0</v>
      </c>
      <c r="BG137" s="113">
        <f t="shared" si="66"/>
        <v>0</v>
      </c>
    </row>
    <row r="138" spans="1:59" s="62" customFormat="1" outlineLevel="1" x14ac:dyDescent="0.25">
      <c r="A138" s="62" t="str">
        <f t="shared" si="67"/>
        <v>MURREYSCOMMERCIALR1.5YDEOW</v>
      </c>
      <c r="B138" s="81" t="s">
        <v>771</v>
      </c>
      <c r="C138" s="81" t="s">
        <v>772</v>
      </c>
      <c r="D138" s="82">
        <v>0</v>
      </c>
      <c r="E138" s="82">
        <v>0</v>
      </c>
      <c r="F138" s="83">
        <v>0</v>
      </c>
      <c r="G138" s="83">
        <v>0</v>
      </c>
      <c r="H138" s="83">
        <v>0</v>
      </c>
      <c r="I138" s="83">
        <v>0</v>
      </c>
      <c r="J138" s="83">
        <v>0</v>
      </c>
      <c r="K138" s="83">
        <v>0</v>
      </c>
      <c r="L138" s="83">
        <v>0</v>
      </c>
      <c r="M138" s="83">
        <v>0</v>
      </c>
      <c r="N138" s="83">
        <v>0</v>
      </c>
      <c r="O138" s="83">
        <v>0</v>
      </c>
      <c r="P138" s="83">
        <v>0</v>
      </c>
      <c r="Q138" s="83">
        <v>0</v>
      </c>
      <c r="R138" s="116">
        <f t="shared" si="68"/>
        <v>0</v>
      </c>
      <c r="S138" s="83">
        <f t="shared" si="69"/>
        <v>0</v>
      </c>
      <c r="T138" s="83">
        <f t="shared" si="69"/>
        <v>0</v>
      </c>
      <c r="U138" s="83">
        <f t="shared" si="72"/>
        <v>0</v>
      </c>
      <c r="V138" s="83">
        <f t="shared" si="72"/>
        <v>0</v>
      </c>
      <c r="W138" s="83">
        <f t="shared" si="72"/>
        <v>0</v>
      </c>
      <c r="X138" s="83">
        <f t="shared" si="72"/>
        <v>0</v>
      </c>
      <c r="Y138" s="83">
        <f t="shared" si="72"/>
        <v>0</v>
      </c>
      <c r="Z138" s="83">
        <f t="shared" si="72"/>
        <v>0</v>
      </c>
      <c r="AA138" s="83">
        <f t="shared" si="72"/>
        <v>0</v>
      </c>
      <c r="AB138" s="83">
        <f t="shared" si="72"/>
        <v>0</v>
      </c>
      <c r="AC138" s="83">
        <f t="shared" si="72"/>
        <v>0</v>
      </c>
      <c r="AD138" s="83">
        <f t="shared" si="72"/>
        <v>0</v>
      </c>
      <c r="AE138" s="83">
        <f t="shared" si="71"/>
        <v>0</v>
      </c>
      <c r="AF138" s="83"/>
      <c r="AH138" s="83"/>
      <c r="AI138" s="83"/>
      <c r="BB138" s="101">
        <f t="shared" si="50"/>
        <v>0</v>
      </c>
      <c r="BD138" s="112">
        <f t="shared" si="63"/>
        <v>0</v>
      </c>
      <c r="BE138" s="136">
        <f t="shared" si="64"/>
        <v>0</v>
      </c>
      <c r="BF138" s="137">
        <f t="shared" si="65"/>
        <v>0</v>
      </c>
      <c r="BG138" s="113">
        <f t="shared" si="66"/>
        <v>0</v>
      </c>
    </row>
    <row r="139" spans="1:59" s="62" customFormat="1" outlineLevel="1" x14ac:dyDescent="0.25">
      <c r="A139" s="62" t="str">
        <f t="shared" si="67"/>
        <v>MURREYSCOMMERCIALR1.5YDTPU</v>
      </c>
      <c r="B139" s="81" t="s">
        <v>773</v>
      </c>
      <c r="C139" s="81" t="s">
        <v>774</v>
      </c>
      <c r="D139" s="82">
        <v>138.96</v>
      </c>
      <c r="E139" s="82">
        <v>140.28</v>
      </c>
      <c r="F139" s="83">
        <v>0</v>
      </c>
      <c r="G139" s="83">
        <v>0</v>
      </c>
      <c r="H139" s="83">
        <v>105.21</v>
      </c>
      <c r="I139" s="83">
        <v>420.84</v>
      </c>
      <c r="J139" s="83">
        <v>455.91</v>
      </c>
      <c r="K139" s="83">
        <v>1157.31</v>
      </c>
      <c r="L139" s="83">
        <v>1052.0999999999999</v>
      </c>
      <c r="M139" s="83">
        <v>169.85000000000002</v>
      </c>
      <c r="N139" s="83">
        <v>374.9</v>
      </c>
      <c r="O139" s="83">
        <v>28.67</v>
      </c>
      <c r="P139" s="83">
        <v>152.28</v>
      </c>
      <c r="Q139" s="83">
        <v>380.7</v>
      </c>
      <c r="R139" s="116">
        <f t="shared" si="68"/>
        <v>4297.7700000000004</v>
      </c>
      <c r="S139" s="83">
        <f t="shared" si="69"/>
        <v>0</v>
      </c>
      <c r="T139" s="83">
        <f t="shared" si="69"/>
        <v>0</v>
      </c>
      <c r="U139" s="83">
        <f t="shared" si="72"/>
        <v>0.75</v>
      </c>
      <c r="V139" s="83">
        <f t="shared" si="72"/>
        <v>3</v>
      </c>
      <c r="W139" s="83">
        <f t="shared" si="72"/>
        <v>3.25</v>
      </c>
      <c r="X139" s="83">
        <f t="shared" si="72"/>
        <v>8.25</v>
      </c>
      <c r="Y139" s="83">
        <f t="shared" si="72"/>
        <v>7.4999999999999991</v>
      </c>
      <c r="Z139" s="83">
        <f t="shared" si="72"/>
        <v>1.2107927003136585</v>
      </c>
      <c r="AA139" s="83">
        <f t="shared" si="72"/>
        <v>2.672512118619903</v>
      </c>
      <c r="AB139" s="83">
        <f t="shared" si="72"/>
        <v>0.20437696036498432</v>
      </c>
      <c r="AC139" s="83">
        <f t="shared" si="72"/>
        <v>1.0855431993156544</v>
      </c>
      <c r="AD139" s="83">
        <f t="shared" si="72"/>
        <v>2.7138579982891358</v>
      </c>
      <c r="AE139" s="83">
        <f t="shared" si="71"/>
        <v>2.5530902480752782</v>
      </c>
      <c r="AF139" s="83"/>
      <c r="AH139" s="83"/>
      <c r="AI139" s="83"/>
      <c r="BB139" s="101">
        <f t="shared" si="50"/>
        <v>4297.7700000000004</v>
      </c>
      <c r="BD139" s="112">
        <f t="shared" si="63"/>
        <v>140.94</v>
      </c>
      <c r="BE139" s="136">
        <f t="shared" si="64"/>
        <v>4317.9904747647561</v>
      </c>
      <c r="BF139" s="137">
        <f t="shared" si="65"/>
        <v>20.220474764755636</v>
      </c>
      <c r="BG139" s="113">
        <f t="shared" si="66"/>
        <v>4.7048759623608601E-3</v>
      </c>
    </row>
    <row r="140" spans="1:59" s="62" customFormat="1" outlineLevel="1" x14ac:dyDescent="0.25">
      <c r="A140" s="62" t="str">
        <f t="shared" si="67"/>
        <v>MURREYSCOMMERCIALF2YD1W</v>
      </c>
      <c r="B140" s="81" t="s">
        <v>775</v>
      </c>
      <c r="C140" s="81" t="s">
        <v>776</v>
      </c>
      <c r="D140" s="82">
        <v>175.84</v>
      </c>
      <c r="E140" s="82">
        <v>177.7</v>
      </c>
      <c r="F140" s="83">
        <v>4747.68</v>
      </c>
      <c r="G140" s="83">
        <v>4879.5599999999995</v>
      </c>
      <c r="H140" s="83">
        <v>4975.6000000000004</v>
      </c>
      <c r="I140" s="83">
        <v>3465.16</v>
      </c>
      <c r="J140" s="83">
        <v>3331.88</v>
      </c>
      <c r="K140" s="83">
        <v>3642.85</v>
      </c>
      <c r="L140" s="83">
        <v>3731.7</v>
      </c>
      <c r="M140" s="83">
        <v>3875.42</v>
      </c>
      <c r="N140" s="83">
        <v>4588.17</v>
      </c>
      <c r="O140" s="83">
        <v>5345.4</v>
      </c>
      <c r="P140" s="83">
        <v>5256.3099999999995</v>
      </c>
      <c r="Q140" s="83">
        <v>5479.04</v>
      </c>
      <c r="R140" s="116">
        <f t="shared" si="68"/>
        <v>53318.77</v>
      </c>
      <c r="S140" s="83">
        <f t="shared" si="69"/>
        <v>27</v>
      </c>
      <c r="T140" s="83">
        <f t="shared" si="69"/>
        <v>27.749999999999996</v>
      </c>
      <c r="U140" s="83">
        <f t="shared" si="72"/>
        <v>28.000000000000004</v>
      </c>
      <c r="V140" s="83">
        <f t="shared" si="72"/>
        <v>19.500056274620146</v>
      </c>
      <c r="W140" s="83">
        <f t="shared" si="72"/>
        <v>18.750028137310075</v>
      </c>
      <c r="X140" s="83">
        <f t="shared" si="72"/>
        <v>20.5</v>
      </c>
      <c r="Y140" s="83">
        <f t="shared" si="72"/>
        <v>21</v>
      </c>
      <c r="Z140" s="83">
        <f t="shared" si="72"/>
        <v>21.808778840742828</v>
      </c>
      <c r="AA140" s="83">
        <f t="shared" si="72"/>
        <v>25.819752391671358</v>
      </c>
      <c r="AB140" s="83">
        <f t="shared" si="72"/>
        <v>30.081035453010692</v>
      </c>
      <c r="AC140" s="83">
        <f t="shared" si="72"/>
        <v>29.579684862127181</v>
      </c>
      <c r="AD140" s="83">
        <f t="shared" si="72"/>
        <v>30.833089476646034</v>
      </c>
      <c r="AE140" s="83">
        <f t="shared" si="71"/>
        <v>25.051868786344027</v>
      </c>
      <c r="AF140" s="83"/>
      <c r="AH140" s="83"/>
      <c r="AI140" s="83"/>
      <c r="BB140" s="101">
        <f t="shared" si="50"/>
        <v>53420.604999999996</v>
      </c>
      <c r="BD140" s="112">
        <f t="shared" si="63"/>
        <v>178.53</v>
      </c>
      <c r="BE140" s="136">
        <f t="shared" si="64"/>
        <v>53670.121613111987</v>
      </c>
      <c r="BF140" s="137">
        <f t="shared" si="65"/>
        <v>249.51661311199132</v>
      </c>
      <c r="BG140" s="113">
        <f t="shared" si="66"/>
        <v>4.670793472144154E-3</v>
      </c>
    </row>
    <row r="141" spans="1:59" s="62" customFormat="1" outlineLevel="1" x14ac:dyDescent="0.25">
      <c r="A141" s="62" t="str">
        <f t="shared" si="67"/>
        <v>MURREYSCOMMERCIALR2YD1W</v>
      </c>
      <c r="B141" s="81" t="s">
        <v>777</v>
      </c>
      <c r="C141" s="81" t="s">
        <v>778</v>
      </c>
      <c r="D141" s="82">
        <v>175.84</v>
      </c>
      <c r="E141" s="82">
        <v>177.7</v>
      </c>
      <c r="F141" s="83">
        <v>73852.800000000003</v>
      </c>
      <c r="G141" s="83">
        <v>72446.080000000002</v>
      </c>
      <c r="H141" s="83">
        <v>73530.099999999991</v>
      </c>
      <c r="I141" s="83">
        <v>71968.59</v>
      </c>
      <c r="J141" s="83">
        <v>73079.179999999993</v>
      </c>
      <c r="K141" s="83">
        <v>75700.260000000009</v>
      </c>
      <c r="L141" s="83">
        <v>76810.87</v>
      </c>
      <c r="M141" s="83">
        <v>76928.559999999983</v>
      </c>
      <c r="N141" s="83">
        <v>76662.080000000002</v>
      </c>
      <c r="O141" s="83">
        <v>75681.990000000005</v>
      </c>
      <c r="P141" s="83">
        <v>76305.64</v>
      </c>
      <c r="Q141" s="83">
        <v>77241.06</v>
      </c>
      <c r="R141" s="116">
        <f>+SUM(F141:Q141)</f>
        <v>900207.21</v>
      </c>
      <c r="S141" s="83">
        <f>+IFERROR(F141/$D141,0)</f>
        <v>420</v>
      </c>
      <c r="T141" s="83">
        <f>+IFERROR(G141/$D141,0)</f>
        <v>412</v>
      </c>
      <c r="U141" s="83">
        <f t="shared" si="72"/>
        <v>413.78784468204839</v>
      </c>
      <c r="V141" s="83">
        <f t="shared" si="72"/>
        <v>405.00050647158133</v>
      </c>
      <c r="W141" s="83">
        <f t="shared" si="72"/>
        <v>411.25030951041077</v>
      </c>
      <c r="X141" s="83">
        <f t="shared" si="72"/>
        <v>426.00033764772098</v>
      </c>
      <c r="Y141" s="83">
        <f t="shared" si="72"/>
        <v>432.25025323579064</v>
      </c>
      <c r="Z141" s="83">
        <f t="shared" si="72"/>
        <v>432.91254924029255</v>
      </c>
      <c r="AA141" s="83">
        <f t="shared" si="72"/>
        <v>431.41294316263367</v>
      </c>
      <c r="AB141" s="83">
        <f t="shared" si="72"/>
        <v>425.89752391671362</v>
      </c>
      <c r="AC141" s="83">
        <f t="shared" si="72"/>
        <v>429.40709060213845</v>
      </c>
      <c r="AD141" s="83">
        <f t="shared" si="72"/>
        <v>434.67113111986498</v>
      </c>
      <c r="AE141" s="83">
        <f>+SUM(S141:AD141)/$AB$2</f>
        <v>422.88254079909967</v>
      </c>
      <c r="AF141" s="83"/>
      <c r="AH141" s="83"/>
      <c r="AI141" s="83"/>
      <c r="BB141" s="101">
        <f t="shared" si="50"/>
        <v>901754.7300000001</v>
      </c>
      <c r="BD141" s="112">
        <f t="shared" si="63"/>
        <v>178.53</v>
      </c>
      <c r="BE141" s="136">
        <f t="shared" si="64"/>
        <v>905966.64010635926</v>
      </c>
      <c r="BF141" s="137">
        <f t="shared" si="65"/>
        <v>4211.9101063591661</v>
      </c>
      <c r="BG141" s="113">
        <f t="shared" si="66"/>
        <v>4.6707934721442112E-3</v>
      </c>
    </row>
    <row r="142" spans="1:59" s="62" customFormat="1" outlineLevel="1" x14ac:dyDescent="0.25">
      <c r="A142" s="62" t="str">
        <f t="shared" si="67"/>
        <v>MURREYSCOMMERCIALF2YD2W</v>
      </c>
      <c r="B142" s="81" t="s">
        <v>779</v>
      </c>
      <c r="C142" s="81" t="s">
        <v>780</v>
      </c>
      <c r="D142" s="82">
        <v>351.68</v>
      </c>
      <c r="E142" s="82">
        <v>355.41</v>
      </c>
      <c r="F142" s="83">
        <v>571.48</v>
      </c>
      <c r="G142" s="83">
        <v>351.68</v>
      </c>
      <c r="H142" s="83">
        <v>355.41</v>
      </c>
      <c r="I142" s="83">
        <v>355.41</v>
      </c>
      <c r="J142" s="83">
        <v>710.82</v>
      </c>
      <c r="K142" s="83">
        <v>888.52</v>
      </c>
      <c r="L142" s="83">
        <v>1066.23</v>
      </c>
      <c r="M142" s="83">
        <v>1069.08</v>
      </c>
      <c r="N142" s="83">
        <v>1069.08</v>
      </c>
      <c r="O142" s="83">
        <v>1069.08</v>
      </c>
      <c r="P142" s="83">
        <v>1069.08</v>
      </c>
      <c r="Q142" s="83">
        <v>1069.08</v>
      </c>
      <c r="R142" s="116">
        <f t="shared" si="68"/>
        <v>9644.9499999999989</v>
      </c>
      <c r="S142" s="83">
        <f t="shared" si="69"/>
        <v>1.625</v>
      </c>
      <c r="T142" s="83">
        <f t="shared" si="69"/>
        <v>1</v>
      </c>
      <c r="U142" s="83">
        <f t="shared" si="72"/>
        <v>1</v>
      </c>
      <c r="V142" s="83">
        <f t="shared" si="72"/>
        <v>1</v>
      </c>
      <c r="W142" s="83">
        <f t="shared" si="72"/>
        <v>2</v>
      </c>
      <c r="X142" s="83">
        <f t="shared" si="72"/>
        <v>2.499985931740806</v>
      </c>
      <c r="Y142" s="83">
        <f t="shared" si="72"/>
        <v>3</v>
      </c>
      <c r="Z142" s="83">
        <f t="shared" si="72"/>
        <v>3.0080189077403556</v>
      </c>
      <c r="AA142" s="83">
        <f t="shared" si="72"/>
        <v>3.0080189077403556</v>
      </c>
      <c r="AB142" s="83">
        <f t="shared" si="72"/>
        <v>3.0080189077403556</v>
      </c>
      <c r="AC142" s="83">
        <f t="shared" si="72"/>
        <v>3.0080189077403556</v>
      </c>
      <c r="AD142" s="83">
        <f t="shared" si="72"/>
        <v>3.0080189077403556</v>
      </c>
      <c r="AE142" s="83">
        <f t="shared" si="71"/>
        <v>2.2637567058702159</v>
      </c>
      <c r="AF142" s="83"/>
      <c r="AH142" s="83"/>
      <c r="AI142" s="83"/>
      <c r="BB142" s="101">
        <f t="shared" si="50"/>
        <v>9654.7412500000028</v>
      </c>
      <c r="BD142" s="112">
        <f t="shared" si="63"/>
        <v>357.07</v>
      </c>
      <c r="BE142" s="136">
        <f t="shared" si="64"/>
        <v>9699.8352835809364</v>
      </c>
      <c r="BF142" s="137">
        <f t="shared" si="65"/>
        <v>45.094033580933683</v>
      </c>
      <c r="BG142" s="113">
        <f t="shared" si="66"/>
        <v>4.670662052277545E-3</v>
      </c>
    </row>
    <row r="143" spans="1:59" s="62" customFormat="1" outlineLevel="1" x14ac:dyDescent="0.25">
      <c r="A143" s="62" t="str">
        <f t="shared" si="67"/>
        <v>MURREYSCOMMERCIALR2YD2W</v>
      </c>
      <c r="B143" s="81" t="s">
        <v>781</v>
      </c>
      <c r="C143" s="81" t="s">
        <v>782</v>
      </c>
      <c r="D143" s="82">
        <v>351.68</v>
      </c>
      <c r="E143" s="82">
        <v>355.41</v>
      </c>
      <c r="F143" s="83">
        <v>34464.639999999999</v>
      </c>
      <c r="G143" s="83">
        <v>34376.720000000001</v>
      </c>
      <c r="H143" s="83">
        <v>35200.39</v>
      </c>
      <c r="I143" s="83">
        <v>30520.839999999997</v>
      </c>
      <c r="J143" s="83">
        <v>28743.78</v>
      </c>
      <c r="K143" s="83">
        <v>30686.690000000002</v>
      </c>
      <c r="L143" s="83">
        <v>32120.18</v>
      </c>
      <c r="M143" s="83">
        <v>32384.219999999998</v>
      </c>
      <c r="N143" s="83">
        <v>32473.32</v>
      </c>
      <c r="O143" s="83">
        <v>30468.780000000002</v>
      </c>
      <c r="P143" s="83">
        <v>30047.089999999997</v>
      </c>
      <c r="Q143" s="83">
        <v>29756.059999999998</v>
      </c>
      <c r="R143" s="116">
        <f>+SUM(F143:Q143)</f>
        <v>381242.71</v>
      </c>
      <c r="S143" s="83">
        <f>+IFERROR(F143/$D143,0)</f>
        <v>98</v>
      </c>
      <c r="T143" s="83">
        <f>+IFERROR(G143/$D143,0)</f>
        <v>97.75</v>
      </c>
      <c r="U143" s="83">
        <f t="shared" si="72"/>
        <v>99.041642047213074</v>
      </c>
      <c r="V143" s="83">
        <f t="shared" si="72"/>
        <v>85.875017585323974</v>
      </c>
      <c r="W143" s="83">
        <f t="shared" si="72"/>
        <v>80.874989448805593</v>
      </c>
      <c r="X143" s="83">
        <f t="shared" si="72"/>
        <v>86.341661742775955</v>
      </c>
      <c r="Y143" s="83">
        <f t="shared" si="72"/>
        <v>90.375003517064798</v>
      </c>
      <c r="Z143" s="83">
        <f t="shared" si="72"/>
        <v>91.117920148560799</v>
      </c>
      <c r="AA143" s="83">
        <f t="shared" si="72"/>
        <v>91.368616527390898</v>
      </c>
      <c r="AB143" s="83">
        <f t="shared" si="72"/>
        <v>85.728538870600147</v>
      </c>
      <c r="AC143" s="83">
        <f t="shared" si="72"/>
        <v>84.542050026729683</v>
      </c>
      <c r="AD143" s="83">
        <f t="shared" si="72"/>
        <v>83.723192932106571</v>
      </c>
      <c r="AE143" s="83">
        <f>+SUM(S143:AD143)/$AB$2</f>
        <v>89.561552737214285</v>
      </c>
      <c r="AF143" s="83"/>
      <c r="AH143" s="83"/>
      <c r="AI143" s="83"/>
      <c r="BB143" s="101">
        <f t="shared" si="50"/>
        <v>381972.85749999998</v>
      </c>
      <c r="BD143" s="112">
        <f t="shared" si="63"/>
        <v>357.07</v>
      </c>
      <c r="BE143" s="136">
        <f t="shared" si="64"/>
        <v>383756.92363052524</v>
      </c>
      <c r="BF143" s="137">
        <f t="shared" si="65"/>
        <v>1784.0661305252579</v>
      </c>
      <c r="BG143" s="113">
        <f t="shared" si="66"/>
        <v>4.6706620522775182E-3</v>
      </c>
    </row>
    <row r="144" spans="1:59" s="62" customFormat="1" outlineLevel="1" x14ac:dyDescent="0.25">
      <c r="A144" s="62" t="str">
        <f t="shared" si="67"/>
        <v>MURREYSCOMMERCIALF2YD3W</v>
      </c>
      <c r="B144" s="81" t="s">
        <v>783</v>
      </c>
      <c r="C144" s="81" t="s">
        <v>784</v>
      </c>
      <c r="D144" s="82">
        <v>527.52</v>
      </c>
      <c r="E144" s="82">
        <v>533.11</v>
      </c>
      <c r="F144" s="83">
        <v>1055.04</v>
      </c>
      <c r="G144" s="83">
        <v>1055.04</v>
      </c>
      <c r="H144" s="83">
        <v>1066.22</v>
      </c>
      <c r="I144" s="83">
        <v>1066.22</v>
      </c>
      <c r="J144" s="83">
        <v>1066.22</v>
      </c>
      <c r="K144" s="83">
        <v>1066.22</v>
      </c>
      <c r="L144" s="83">
        <v>1066.22</v>
      </c>
      <c r="M144" s="83">
        <v>1069.08</v>
      </c>
      <c r="N144" s="83">
        <v>1069.08</v>
      </c>
      <c r="O144" s="83">
        <v>1069.08</v>
      </c>
      <c r="P144" s="83">
        <v>1069.08</v>
      </c>
      <c r="Q144" s="83">
        <v>1069.08</v>
      </c>
      <c r="R144" s="116">
        <f t="shared" si="68"/>
        <v>12786.580000000002</v>
      </c>
      <c r="S144" s="83">
        <f t="shared" si="69"/>
        <v>2</v>
      </c>
      <c r="T144" s="83">
        <f t="shared" si="69"/>
        <v>2</v>
      </c>
      <c r="U144" s="83">
        <f t="shared" si="72"/>
        <v>2</v>
      </c>
      <c r="V144" s="83">
        <f t="shared" si="72"/>
        <v>2</v>
      </c>
      <c r="W144" s="83">
        <f t="shared" si="72"/>
        <v>2</v>
      </c>
      <c r="X144" s="83">
        <f t="shared" si="72"/>
        <v>2</v>
      </c>
      <c r="Y144" s="83">
        <f t="shared" si="72"/>
        <v>2</v>
      </c>
      <c r="Z144" s="83">
        <f t="shared" si="72"/>
        <v>2.0053647464875914</v>
      </c>
      <c r="AA144" s="83">
        <f t="shared" si="72"/>
        <v>2.0053647464875914</v>
      </c>
      <c r="AB144" s="83">
        <f t="shared" si="72"/>
        <v>2.0053647464875914</v>
      </c>
      <c r="AC144" s="83">
        <f t="shared" si="72"/>
        <v>2.0053647464875914</v>
      </c>
      <c r="AD144" s="83">
        <f t="shared" si="72"/>
        <v>2.0053647464875914</v>
      </c>
      <c r="AE144" s="83">
        <f t="shared" si="71"/>
        <v>2.0022353110364959</v>
      </c>
      <c r="AF144" s="83"/>
      <c r="AH144" s="83"/>
      <c r="AI144" s="83"/>
      <c r="BB144" s="101">
        <f t="shared" si="50"/>
        <v>12808.939999999997</v>
      </c>
      <c r="BD144" s="112">
        <f t="shared" si="63"/>
        <v>535.6</v>
      </c>
      <c r="BE144" s="136">
        <f t="shared" si="64"/>
        <v>12868.766791093767</v>
      </c>
      <c r="BF144" s="137">
        <f t="shared" si="65"/>
        <v>59.826791093770225</v>
      </c>
      <c r="BG144" s="113">
        <f t="shared" si="66"/>
        <v>4.6707058580780485E-3</v>
      </c>
    </row>
    <row r="145" spans="1:59" s="62" customFormat="1" outlineLevel="1" x14ac:dyDescent="0.25">
      <c r="A145" s="62" t="str">
        <f t="shared" si="67"/>
        <v>MURREYSCOMMERCIALR2YD3W</v>
      </c>
      <c r="B145" s="81" t="s">
        <v>785</v>
      </c>
      <c r="C145" s="81" t="s">
        <v>786</v>
      </c>
      <c r="D145" s="82">
        <v>527.52</v>
      </c>
      <c r="E145" s="82">
        <v>533.11</v>
      </c>
      <c r="F145" s="83">
        <v>13715.52</v>
      </c>
      <c r="G145" s="83">
        <v>14199.08</v>
      </c>
      <c r="H145" s="83">
        <v>13799.36</v>
      </c>
      <c r="I145" s="83">
        <v>13327.75</v>
      </c>
      <c r="J145" s="83">
        <v>13327.75</v>
      </c>
      <c r="K145" s="83">
        <v>13696.829999999998</v>
      </c>
      <c r="L145" s="83">
        <v>13905.29</v>
      </c>
      <c r="M145" s="83">
        <v>13898.039999999999</v>
      </c>
      <c r="N145" s="83">
        <v>13898.039999999999</v>
      </c>
      <c r="O145" s="83">
        <v>14254.4</v>
      </c>
      <c r="P145" s="83">
        <v>14788.939999999999</v>
      </c>
      <c r="Q145" s="83">
        <v>13987.130000000001</v>
      </c>
      <c r="R145" s="116">
        <f t="shared" si="68"/>
        <v>166798.12999999998</v>
      </c>
      <c r="S145" s="83">
        <f t="shared" si="69"/>
        <v>26</v>
      </c>
      <c r="T145" s="83">
        <f t="shared" si="69"/>
        <v>26.916666666666668</v>
      </c>
      <c r="U145" s="83">
        <f t="shared" si="72"/>
        <v>25.884639192661929</v>
      </c>
      <c r="V145" s="83">
        <f t="shared" si="72"/>
        <v>25</v>
      </c>
      <c r="W145" s="83">
        <f t="shared" si="72"/>
        <v>25</v>
      </c>
      <c r="X145" s="83">
        <f t="shared" si="72"/>
        <v>25.692314906867246</v>
      </c>
      <c r="Y145" s="83">
        <f t="shared" si="72"/>
        <v>26.08334114910619</v>
      </c>
      <c r="Z145" s="83">
        <f t="shared" si="72"/>
        <v>26.069741704338689</v>
      </c>
      <c r="AA145" s="83">
        <f t="shared" si="72"/>
        <v>26.069741704338689</v>
      </c>
      <c r="AB145" s="83">
        <f t="shared" si="72"/>
        <v>26.738196619834554</v>
      </c>
      <c r="AC145" s="83">
        <f t="shared" si="72"/>
        <v>27.740878993078347</v>
      </c>
      <c r="AD145" s="83">
        <f t="shared" si="72"/>
        <v>26.236855433212661</v>
      </c>
      <c r="AE145" s="83">
        <f t="shared" si="71"/>
        <v>26.119364697508747</v>
      </c>
      <c r="AF145" s="83"/>
      <c r="AH145" s="83"/>
      <c r="AI145" s="83"/>
      <c r="BB145" s="101">
        <f t="shared" si="50"/>
        <v>167093.93416666667</v>
      </c>
      <c r="BD145" s="112">
        <f t="shared" si="63"/>
        <v>535.6</v>
      </c>
      <c r="BE145" s="136">
        <f t="shared" si="64"/>
        <v>167874.38078382824</v>
      </c>
      <c r="BF145" s="137">
        <f t="shared" si="65"/>
        <v>780.44661716156406</v>
      </c>
      <c r="BG145" s="113">
        <f t="shared" si="66"/>
        <v>4.6707058580780858E-3</v>
      </c>
    </row>
    <row r="146" spans="1:59" s="62" customFormat="1" outlineLevel="1" x14ac:dyDescent="0.25">
      <c r="A146" s="62" t="str">
        <f t="shared" si="67"/>
        <v>MURREYSCOMMERCIALR2YD4W</v>
      </c>
      <c r="B146" s="81" t="s">
        <v>787</v>
      </c>
      <c r="C146" s="81" t="s">
        <v>788</v>
      </c>
      <c r="D146" s="82">
        <v>703.37</v>
      </c>
      <c r="E146" s="82">
        <v>710.81</v>
      </c>
      <c r="F146" s="83">
        <v>703.37</v>
      </c>
      <c r="G146" s="83">
        <v>703.37</v>
      </c>
      <c r="H146" s="83">
        <v>710.81</v>
      </c>
      <c r="I146" s="83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  <c r="Q146" s="83">
        <v>0</v>
      </c>
      <c r="R146" s="116">
        <f t="shared" si="68"/>
        <v>2117.5500000000002</v>
      </c>
      <c r="S146" s="83">
        <f t="shared" si="69"/>
        <v>1</v>
      </c>
      <c r="T146" s="83">
        <f t="shared" si="69"/>
        <v>1</v>
      </c>
      <c r="U146" s="83">
        <f t="shared" si="72"/>
        <v>1</v>
      </c>
      <c r="V146" s="83">
        <f t="shared" si="72"/>
        <v>0</v>
      </c>
      <c r="W146" s="83">
        <f t="shared" si="72"/>
        <v>0</v>
      </c>
      <c r="X146" s="83">
        <f t="shared" si="72"/>
        <v>0</v>
      </c>
      <c r="Y146" s="83">
        <f t="shared" si="72"/>
        <v>0</v>
      </c>
      <c r="Z146" s="83">
        <f t="shared" si="72"/>
        <v>0</v>
      </c>
      <c r="AA146" s="83">
        <f t="shared" si="72"/>
        <v>0</v>
      </c>
      <c r="AB146" s="83">
        <f t="shared" si="72"/>
        <v>0</v>
      </c>
      <c r="AC146" s="83">
        <f t="shared" si="72"/>
        <v>0</v>
      </c>
      <c r="AD146" s="83">
        <f t="shared" si="72"/>
        <v>0</v>
      </c>
      <c r="AE146" s="83">
        <f t="shared" si="71"/>
        <v>0.25</v>
      </c>
      <c r="AF146" s="83"/>
      <c r="AH146" s="83"/>
      <c r="AI146" s="83"/>
      <c r="BB146" s="101">
        <f t="shared" si="50"/>
        <v>2132.4299999999998</v>
      </c>
      <c r="BD146" s="112">
        <f t="shared" si="63"/>
        <v>714.14</v>
      </c>
      <c r="BE146" s="136">
        <f t="shared" si="64"/>
        <v>2142.42</v>
      </c>
      <c r="BF146" s="137">
        <f t="shared" si="65"/>
        <v>9.9900000000002365</v>
      </c>
      <c r="BG146" s="113">
        <f t="shared" si="66"/>
        <v>4.6847962183988396E-3</v>
      </c>
    </row>
    <row r="147" spans="1:59" s="62" customFormat="1" outlineLevel="1" x14ac:dyDescent="0.25">
      <c r="A147" s="62" t="str">
        <f t="shared" si="67"/>
        <v>MURREYSCOMMERCIALR2YD5W</v>
      </c>
      <c r="B147" s="81" t="s">
        <v>789</v>
      </c>
      <c r="C147" s="81" t="s">
        <v>790</v>
      </c>
      <c r="D147" s="82">
        <v>879.21</v>
      </c>
      <c r="E147" s="82">
        <v>888.52</v>
      </c>
      <c r="F147" s="83">
        <v>3516.84</v>
      </c>
      <c r="G147" s="83">
        <v>3516.84</v>
      </c>
      <c r="H147" s="83">
        <v>3554.08</v>
      </c>
      <c r="I147" s="83">
        <v>3554.08</v>
      </c>
      <c r="J147" s="83">
        <v>3554.08</v>
      </c>
      <c r="K147" s="83">
        <v>3554.08</v>
      </c>
      <c r="L147" s="83">
        <v>3554.08</v>
      </c>
      <c r="M147" s="83">
        <v>3563.6</v>
      </c>
      <c r="N147" s="83">
        <v>3563.6</v>
      </c>
      <c r="O147" s="83">
        <v>3563.6</v>
      </c>
      <c r="P147" s="83">
        <v>3563.6</v>
      </c>
      <c r="Q147" s="83">
        <v>3563.6</v>
      </c>
      <c r="R147" s="116">
        <f t="shared" si="68"/>
        <v>42622.079999999994</v>
      </c>
      <c r="S147" s="83">
        <f t="shared" si="69"/>
        <v>4</v>
      </c>
      <c r="T147" s="83">
        <f t="shared" si="69"/>
        <v>4</v>
      </c>
      <c r="U147" s="83">
        <f t="shared" si="72"/>
        <v>4</v>
      </c>
      <c r="V147" s="83">
        <f t="shared" si="72"/>
        <v>4</v>
      </c>
      <c r="W147" s="83">
        <f t="shared" si="72"/>
        <v>4</v>
      </c>
      <c r="X147" s="83">
        <f t="shared" si="72"/>
        <v>4</v>
      </c>
      <c r="Y147" s="83">
        <f t="shared" si="72"/>
        <v>4</v>
      </c>
      <c r="Z147" s="83">
        <f t="shared" si="72"/>
        <v>4.010714446495296</v>
      </c>
      <c r="AA147" s="83">
        <f t="shared" si="72"/>
        <v>4.010714446495296</v>
      </c>
      <c r="AB147" s="83">
        <f t="shared" si="72"/>
        <v>4.010714446495296</v>
      </c>
      <c r="AC147" s="83">
        <f t="shared" si="72"/>
        <v>4.010714446495296</v>
      </c>
      <c r="AD147" s="83">
        <f t="shared" si="72"/>
        <v>4.010714446495296</v>
      </c>
      <c r="AE147" s="83">
        <f t="shared" si="71"/>
        <v>4.0044643527063748</v>
      </c>
      <c r="AF147" s="83"/>
      <c r="AH147" s="83"/>
      <c r="AI147" s="83"/>
      <c r="BB147" s="101">
        <f t="shared" si="50"/>
        <v>42696.560000000012</v>
      </c>
      <c r="BD147" s="112">
        <f t="shared" si="63"/>
        <v>892.68</v>
      </c>
      <c r="BE147" s="136">
        <f t="shared" si="64"/>
        <v>42896.462860487118</v>
      </c>
      <c r="BF147" s="137">
        <f t="shared" si="65"/>
        <v>199.9028604871055</v>
      </c>
      <c r="BG147" s="113">
        <f t="shared" si="66"/>
        <v>4.6819430063477115E-3</v>
      </c>
    </row>
    <row r="148" spans="1:59" s="62" customFormat="1" outlineLevel="1" x14ac:dyDescent="0.25">
      <c r="A148" s="62" t="str">
        <f t="shared" si="67"/>
        <v>MURREYSCOMMERCIALR2YDEOW</v>
      </c>
      <c r="B148" s="81" t="s">
        <v>791</v>
      </c>
      <c r="C148" s="81" t="s">
        <v>792</v>
      </c>
      <c r="D148" s="82">
        <v>0</v>
      </c>
      <c r="E148" s="82">
        <v>0</v>
      </c>
      <c r="F148" s="83">
        <v>0</v>
      </c>
      <c r="G148" s="83">
        <v>0</v>
      </c>
      <c r="H148" s="83">
        <v>0</v>
      </c>
      <c r="I148" s="83">
        <v>0</v>
      </c>
      <c r="J148" s="83">
        <v>0</v>
      </c>
      <c r="K148" s="83">
        <v>0</v>
      </c>
      <c r="L148" s="83">
        <v>0</v>
      </c>
      <c r="M148" s="83">
        <v>0</v>
      </c>
      <c r="N148" s="83">
        <v>0</v>
      </c>
      <c r="O148" s="83">
        <v>0</v>
      </c>
      <c r="P148" s="83">
        <v>0</v>
      </c>
      <c r="Q148" s="83">
        <v>0</v>
      </c>
      <c r="R148" s="116">
        <f t="shared" si="68"/>
        <v>0</v>
      </c>
      <c r="S148" s="83">
        <f t="shared" si="69"/>
        <v>0</v>
      </c>
      <c r="T148" s="83">
        <f t="shared" si="69"/>
        <v>0</v>
      </c>
      <c r="U148" s="83">
        <f t="shared" ref="U148:AD163" si="73">+IFERROR(H148/$E148,0)</f>
        <v>0</v>
      </c>
      <c r="V148" s="83">
        <f t="shared" si="73"/>
        <v>0</v>
      </c>
      <c r="W148" s="83">
        <f t="shared" si="73"/>
        <v>0</v>
      </c>
      <c r="X148" s="83">
        <f t="shared" si="73"/>
        <v>0</v>
      </c>
      <c r="Y148" s="83">
        <f t="shared" si="73"/>
        <v>0</v>
      </c>
      <c r="Z148" s="83">
        <f t="shared" si="73"/>
        <v>0</v>
      </c>
      <c r="AA148" s="83">
        <f t="shared" si="73"/>
        <v>0</v>
      </c>
      <c r="AB148" s="83">
        <f t="shared" si="73"/>
        <v>0</v>
      </c>
      <c r="AC148" s="83">
        <f t="shared" si="73"/>
        <v>0</v>
      </c>
      <c r="AD148" s="83">
        <f t="shared" si="73"/>
        <v>0</v>
      </c>
      <c r="AE148" s="83">
        <f t="shared" si="71"/>
        <v>0</v>
      </c>
      <c r="AF148" s="83"/>
      <c r="AH148" s="83"/>
      <c r="AI148" s="83"/>
      <c r="BB148" s="101">
        <f t="shared" si="50"/>
        <v>0</v>
      </c>
      <c r="BD148" s="112">
        <f t="shared" si="63"/>
        <v>0</v>
      </c>
      <c r="BE148" s="136">
        <f t="shared" si="64"/>
        <v>0</v>
      </c>
      <c r="BF148" s="137">
        <f t="shared" si="65"/>
        <v>0</v>
      </c>
      <c r="BG148" s="113">
        <f t="shared" si="66"/>
        <v>0</v>
      </c>
    </row>
    <row r="149" spans="1:59" s="62" customFormat="1" outlineLevel="1" x14ac:dyDescent="0.25">
      <c r="A149" s="62" t="str">
        <f t="shared" si="67"/>
        <v>MURREYSCOMMERCIALR2YDTPU</v>
      </c>
      <c r="B149" s="81" t="s">
        <v>793</v>
      </c>
      <c r="C149" s="81" t="s">
        <v>794</v>
      </c>
      <c r="D149" s="82">
        <v>171.12</v>
      </c>
      <c r="E149" s="82">
        <v>172.84</v>
      </c>
      <c r="F149" s="83">
        <v>1801.7500000000002</v>
      </c>
      <c r="G149" s="83">
        <v>1240.6199999999999</v>
      </c>
      <c r="H149" s="83">
        <v>3618.0299999999997</v>
      </c>
      <c r="I149" s="83">
        <v>3932.1099999999997</v>
      </c>
      <c r="J149" s="83">
        <v>5185.2</v>
      </c>
      <c r="K149" s="83">
        <v>4061.7400000000002</v>
      </c>
      <c r="L149" s="83">
        <v>3063.7299999999996</v>
      </c>
      <c r="M149" s="83">
        <v>3019.43</v>
      </c>
      <c r="N149" s="83">
        <v>4268.91</v>
      </c>
      <c r="O149" s="83">
        <v>3103.2300000000005</v>
      </c>
      <c r="P149" s="83">
        <v>1876.2700000000002</v>
      </c>
      <c r="Q149" s="83">
        <v>2904.3700000000003</v>
      </c>
      <c r="R149" s="116">
        <f t="shared" si="68"/>
        <v>38075.39</v>
      </c>
      <c r="S149" s="83">
        <f t="shared" si="69"/>
        <v>10.529160822814401</v>
      </c>
      <c r="T149" s="83">
        <f t="shared" si="69"/>
        <v>7.2499999999999991</v>
      </c>
      <c r="U149" s="83">
        <f t="shared" si="73"/>
        <v>20.932828049062714</v>
      </c>
      <c r="V149" s="83">
        <f t="shared" si="73"/>
        <v>22.749999999999996</v>
      </c>
      <c r="W149" s="83">
        <f t="shared" si="73"/>
        <v>30</v>
      </c>
      <c r="X149" s="83">
        <f t="shared" si="73"/>
        <v>23.5</v>
      </c>
      <c r="Y149" s="83">
        <f t="shared" si="73"/>
        <v>17.725815783383474</v>
      </c>
      <c r="Z149" s="83">
        <f t="shared" si="73"/>
        <v>17.469509372830363</v>
      </c>
      <c r="AA149" s="83">
        <f t="shared" si="73"/>
        <v>24.698623003934273</v>
      </c>
      <c r="AB149" s="83">
        <f t="shared" si="73"/>
        <v>17.954350844711875</v>
      </c>
      <c r="AC149" s="83">
        <f t="shared" si="73"/>
        <v>10.855531127053924</v>
      </c>
      <c r="AD149" s="83">
        <f t="shared" si="73"/>
        <v>16.80380698912289</v>
      </c>
      <c r="AE149" s="83">
        <f t="shared" si="71"/>
        <v>18.372468832742825</v>
      </c>
      <c r="AF149" s="83"/>
      <c r="AH149" s="83"/>
      <c r="AI149" s="83"/>
      <c r="BB149" s="101">
        <f t="shared" si="50"/>
        <v>38105.970156615236</v>
      </c>
      <c r="BD149" s="112">
        <f t="shared" si="63"/>
        <v>173.65</v>
      </c>
      <c r="BE149" s="136">
        <f t="shared" si="64"/>
        <v>38284.550553669498</v>
      </c>
      <c r="BF149" s="137">
        <f t="shared" si="65"/>
        <v>178.58039705426199</v>
      </c>
      <c r="BG149" s="113">
        <f t="shared" si="66"/>
        <v>4.6864151816709554E-3</v>
      </c>
    </row>
    <row r="150" spans="1:59" s="62" customFormat="1" outlineLevel="1" x14ac:dyDescent="0.25">
      <c r="A150" s="62" t="str">
        <f t="shared" si="67"/>
        <v>MURREYSCOMMERCIALF1.5YD2W</v>
      </c>
      <c r="B150" s="81" t="s">
        <v>795</v>
      </c>
      <c r="C150" s="81" t="s">
        <v>796</v>
      </c>
      <c r="D150" s="82">
        <v>281.97000000000003</v>
      </c>
      <c r="E150" s="82">
        <v>284.83</v>
      </c>
      <c r="F150" s="83">
        <v>0</v>
      </c>
      <c r="G150" s="83">
        <v>0</v>
      </c>
      <c r="H150" s="83">
        <v>0</v>
      </c>
      <c r="I150" s="83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83">
        <v>0</v>
      </c>
      <c r="R150" s="116">
        <f t="shared" si="68"/>
        <v>0</v>
      </c>
      <c r="S150" s="83">
        <f t="shared" si="69"/>
        <v>0</v>
      </c>
      <c r="T150" s="83">
        <f t="shared" si="69"/>
        <v>0</v>
      </c>
      <c r="U150" s="83">
        <f t="shared" si="73"/>
        <v>0</v>
      </c>
      <c r="V150" s="83">
        <f t="shared" si="73"/>
        <v>0</v>
      </c>
      <c r="W150" s="83">
        <f t="shared" si="73"/>
        <v>0</v>
      </c>
      <c r="X150" s="83">
        <f t="shared" si="73"/>
        <v>0</v>
      </c>
      <c r="Y150" s="83">
        <f t="shared" si="73"/>
        <v>0</v>
      </c>
      <c r="Z150" s="83">
        <f t="shared" si="73"/>
        <v>0</v>
      </c>
      <c r="AA150" s="83">
        <f t="shared" si="73"/>
        <v>0</v>
      </c>
      <c r="AB150" s="83">
        <f t="shared" si="73"/>
        <v>0</v>
      </c>
      <c r="AC150" s="83">
        <f t="shared" si="73"/>
        <v>0</v>
      </c>
      <c r="AD150" s="83">
        <f t="shared" si="73"/>
        <v>0</v>
      </c>
      <c r="AE150" s="83">
        <f t="shared" si="71"/>
        <v>0</v>
      </c>
      <c r="AF150" s="83"/>
      <c r="AH150" s="83"/>
      <c r="AI150" s="83"/>
      <c r="BB150" s="101">
        <f t="shared" si="50"/>
        <v>0</v>
      </c>
      <c r="BD150" s="112">
        <f t="shared" si="63"/>
        <v>286.16000000000003</v>
      </c>
      <c r="BE150" s="136">
        <f t="shared" si="64"/>
        <v>0</v>
      </c>
      <c r="BF150" s="137">
        <f t="shared" si="65"/>
        <v>0</v>
      </c>
      <c r="BG150" s="113">
        <f t="shared" si="66"/>
        <v>0</v>
      </c>
    </row>
    <row r="151" spans="1:59" s="62" customFormat="1" outlineLevel="1" x14ac:dyDescent="0.25">
      <c r="A151" s="62" t="str">
        <f t="shared" si="67"/>
        <v>MURREYSCOMMERCIALF4YD1W</v>
      </c>
      <c r="B151" s="81" t="s">
        <v>797</v>
      </c>
      <c r="C151" s="81" t="s">
        <v>798</v>
      </c>
      <c r="D151" s="82">
        <v>330.38</v>
      </c>
      <c r="E151" s="82">
        <v>333.89</v>
      </c>
      <c r="F151" s="83">
        <v>59468.41</v>
      </c>
      <c r="G151" s="83">
        <v>59963.979999999996</v>
      </c>
      <c r="H151" s="83">
        <v>61435.78</v>
      </c>
      <c r="I151" s="83">
        <v>58347.29</v>
      </c>
      <c r="J151" s="83">
        <v>58013.39</v>
      </c>
      <c r="K151" s="83">
        <v>59515.92</v>
      </c>
      <c r="L151" s="83">
        <v>59098.53</v>
      </c>
      <c r="M151" s="83">
        <v>59929.2</v>
      </c>
      <c r="N151" s="83">
        <v>60347.7</v>
      </c>
      <c r="O151" s="83">
        <v>60849.9</v>
      </c>
      <c r="P151" s="83">
        <v>60682.5</v>
      </c>
      <c r="Q151" s="83">
        <v>60688.88</v>
      </c>
      <c r="R151" s="116">
        <f t="shared" si="68"/>
        <v>718341.48</v>
      </c>
      <c r="S151" s="83">
        <f t="shared" si="69"/>
        <v>180.00003026817606</v>
      </c>
      <c r="T151" s="83">
        <f t="shared" si="69"/>
        <v>181.50003026817603</v>
      </c>
      <c r="U151" s="83">
        <f t="shared" si="73"/>
        <v>184.00005989996706</v>
      </c>
      <c r="V151" s="83">
        <f t="shared" si="73"/>
        <v>174.75003743747942</v>
      </c>
      <c r="W151" s="83">
        <f t="shared" si="73"/>
        <v>173.75000748749588</v>
      </c>
      <c r="X151" s="83">
        <f t="shared" si="73"/>
        <v>178.25008236245469</v>
      </c>
      <c r="Y151" s="83">
        <f t="shared" si="73"/>
        <v>177</v>
      </c>
      <c r="Z151" s="83">
        <f t="shared" si="73"/>
        <v>179.4878552816796</v>
      </c>
      <c r="AA151" s="83">
        <f t="shared" si="73"/>
        <v>180.74126209230585</v>
      </c>
      <c r="AB151" s="83">
        <f t="shared" si="73"/>
        <v>182.24535026505737</v>
      </c>
      <c r="AC151" s="83">
        <f t="shared" si="73"/>
        <v>181.74398754080687</v>
      </c>
      <c r="AD151" s="83">
        <f t="shared" si="73"/>
        <v>181.76309563029741</v>
      </c>
      <c r="AE151" s="83">
        <f t="shared" si="71"/>
        <v>179.60264987782466</v>
      </c>
      <c r="AF151" s="83"/>
      <c r="AH151" s="83"/>
      <c r="AI151" s="83"/>
      <c r="BB151" s="101">
        <f t="shared" si="50"/>
        <v>719610.34521248238</v>
      </c>
      <c r="BD151" s="112">
        <f t="shared" si="63"/>
        <v>335.45</v>
      </c>
      <c r="BE151" s="136">
        <f t="shared" si="64"/>
        <v>722972.50681819534</v>
      </c>
      <c r="BF151" s="137">
        <f t="shared" si="65"/>
        <v>3362.1616057129577</v>
      </c>
      <c r="BG151" s="113">
        <f t="shared" si="66"/>
        <v>4.6721974302915258E-3</v>
      </c>
    </row>
    <row r="152" spans="1:59" s="62" customFormat="1" outlineLevel="1" x14ac:dyDescent="0.25">
      <c r="A152" s="62" t="str">
        <f t="shared" si="67"/>
        <v>MURREYSCOMMERCIALF4YD2W</v>
      </c>
      <c r="B152" s="81" t="s">
        <v>799</v>
      </c>
      <c r="C152" s="81" t="s">
        <v>800</v>
      </c>
      <c r="D152" s="82">
        <v>660.76</v>
      </c>
      <c r="E152" s="82">
        <v>667.77</v>
      </c>
      <c r="F152" s="83">
        <v>22465.84</v>
      </c>
      <c r="G152" s="83">
        <v>21970.27</v>
      </c>
      <c r="H152" s="83">
        <v>21034.77</v>
      </c>
      <c r="I152" s="83">
        <v>19365.329999999998</v>
      </c>
      <c r="J152" s="83">
        <v>19365.329999999998</v>
      </c>
      <c r="K152" s="83">
        <v>19754.86</v>
      </c>
      <c r="L152" s="83">
        <v>20450.46</v>
      </c>
      <c r="M152" s="83">
        <v>19920.310000000001</v>
      </c>
      <c r="N152" s="83">
        <v>19250.71</v>
      </c>
      <c r="O152" s="83">
        <v>19418.11</v>
      </c>
      <c r="P152" s="83">
        <v>19418.11</v>
      </c>
      <c r="Q152" s="83">
        <v>19418.11</v>
      </c>
      <c r="R152" s="116">
        <f t="shared" si="68"/>
        <v>241832.20999999996</v>
      </c>
      <c r="S152" s="83">
        <f t="shared" si="69"/>
        <v>34</v>
      </c>
      <c r="T152" s="83">
        <f t="shared" si="69"/>
        <v>33.25</v>
      </c>
      <c r="U152" s="83">
        <f t="shared" si="73"/>
        <v>31.500022462824028</v>
      </c>
      <c r="V152" s="83">
        <f t="shared" si="73"/>
        <v>28.999999999999996</v>
      </c>
      <c r="W152" s="83">
        <f t="shared" si="73"/>
        <v>28.999999999999996</v>
      </c>
      <c r="X152" s="83">
        <f t="shared" si="73"/>
        <v>29.583329589529331</v>
      </c>
      <c r="Y152" s="83">
        <f t="shared" si="73"/>
        <v>30.625005615706005</v>
      </c>
      <c r="Z152" s="83">
        <f t="shared" si="73"/>
        <v>29.831094538538721</v>
      </c>
      <c r="AA152" s="83">
        <f t="shared" si="73"/>
        <v>28.828354074007517</v>
      </c>
      <c r="AB152" s="83">
        <f t="shared" si="73"/>
        <v>29.079039190140321</v>
      </c>
      <c r="AC152" s="83">
        <f t="shared" si="73"/>
        <v>29.079039190140321</v>
      </c>
      <c r="AD152" s="83">
        <f t="shared" si="73"/>
        <v>29.079039190140321</v>
      </c>
      <c r="AE152" s="83">
        <f t="shared" si="71"/>
        <v>30.237910320918882</v>
      </c>
      <c r="AF152" s="83"/>
      <c r="AH152" s="83"/>
      <c r="AI152" s="83"/>
      <c r="BB152" s="101">
        <f t="shared" si="50"/>
        <v>242303.63250000001</v>
      </c>
      <c r="BD152" s="112">
        <f t="shared" si="63"/>
        <v>670.9</v>
      </c>
      <c r="BE152" s="136">
        <f t="shared" si="64"/>
        <v>243439.36841165373</v>
      </c>
      <c r="BF152" s="137">
        <f t="shared" si="65"/>
        <v>1135.7359116537264</v>
      </c>
      <c r="BG152" s="113">
        <f t="shared" si="66"/>
        <v>4.687242613474754E-3</v>
      </c>
    </row>
    <row r="153" spans="1:59" s="62" customFormat="1" outlineLevel="1" x14ac:dyDescent="0.25">
      <c r="A153" s="62" t="str">
        <f t="shared" si="67"/>
        <v>MURREYSCOMMERCIALF4YD3W</v>
      </c>
      <c r="B153" s="81" t="s">
        <v>801</v>
      </c>
      <c r="C153" s="81" t="s">
        <v>802</v>
      </c>
      <c r="D153" s="82">
        <v>991.14</v>
      </c>
      <c r="E153" s="82">
        <v>1001.66</v>
      </c>
      <c r="F153" s="83">
        <v>4955.7</v>
      </c>
      <c r="G153" s="83">
        <v>4955.7</v>
      </c>
      <c r="H153" s="83">
        <v>5008.3</v>
      </c>
      <c r="I153" s="83">
        <v>5008.3</v>
      </c>
      <c r="J153" s="83">
        <v>5008.3</v>
      </c>
      <c r="K153" s="83">
        <v>6420.9</v>
      </c>
      <c r="L153" s="83">
        <v>6934.57</v>
      </c>
      <c r="M153" s="83">
        <v>6026.34</v>
      </c>
      <c r="N153" s="83">
        <v>6026.34</v>
      </c>
      <c r="O153" s="83">
        <v>6026.34</v>
      </c>
      <c r="P153" s="83">
        <v>6026.34</v>
      </c>
      <c r="Q153" s="83">
        <v>6026.34</v>
      </c>
      <c r="R153" s="116">
        <f t="shared" si="68"/>
        <v>68423.469999999987</v>
      </c>
      <c r="S153" s="83">
        <f t="shared" si="69"/>
        <v>5</v>
      </c>
      <c r="T153" s="83">
        <f t="shared" si="69"/>
        <v>5</v>
      </c>
      <c r="U153" s="83">
        <f t="shared" si="73"/>
        <v>5</v>
      </c>
      <c r="V153" s="83">
        <f t="shared" si="73"/>
        <v>5</v>
      </c>
      <c r="W153" s="83">
        <f t="shared" si="73"/>
        <v>5</v>
      </c>
      <c r="X153" s="83">
        <f t="shared" si="73"/>
        <v>6.4102589701096182</v>
      </c>
      <c r="Y153" s="83">
        <f t="shared" si="73"/>
        <v>6.9230776910328853</v>
      </c>
      <c r="Z153" s="83">
        <f t="shared" si="73"/>
        <v>6.0163528542619256</v>
      </c>
      <c r="AA153" s="83">
        <f t="shared" si="73"/>
        <v>6.0163528542619256</v>
      </c>
      <c r="AB153" s="83">
        <f t="shared" si="73"/>
        <v>6.0163528542619256</v>
      </c>
      <c r="AC153" s="83">
        <f t="shared" si="73"/>
        <v>6.0163528542619256</v>
      </c>
      <c r="AD153" s="83">
        <f t="shared" si="73"/>
        <v>6.0163528542619256</v>
      </c>
      <c r="AE153" s="83">
        <f t="shared" si="71"/>
        <v>5.7012584110376778</v>
      </c>
      <c r="AF153" s="83"/>
      <c r="AH153" s="83"/>
      <c r="AI153" s="83"/>
      <c r="BB153" s="101">
        <f t="shared" si="50"/>
        <v>68528.67</v>
      </c>
      <c r="BD153" s="112">
        <f t="shared" si="63"/>
        <v>1006.35</v>
      </c>
      <c r="BE153" s="136">
        <f t="shared" si="64"/>
        <v>68849.536823373215</v>
      </c>
      <c r="BF153" s="137">
        <f t="shared" si="65"/>
        <v>320.8668233732169</v>
      </c>
      <c r="BG153" s="113">
        <f t="shared" si="66"/>
        <v>4.6822275023463448E-3</v>
      </c>
    </row>
    <row r="154" spans="1:59" s="62" customFormat="1" outlineLevel="1" x14ac:dyDescent="0.25">
      <c r="A154" s="62" t="str">
        <f t="shared" si="67"/>
        <v>MURREYSCOMMERCIALF4YD4W</v>
      </c>
      <c r="B154" s="81" t="s">
        <v>803</v>
      </c>
      <c r="C154" s="81" t="s">
        <v>804</v>
      </c>
      <c r="D154" s="82">
        <v>1321.52</v>
      </c>
      <c r="E154" s="82">
        <v>1335.55</v>
      </c>
      <c r="F154" s="83">
        <v>0</v>
      </c>
      <c r="G154" s="83">
        <v>0</v>
      </c>
      <c r="H154" s="83">
        <v>0</v>
      </c>
      <c r="I154" s="83">
        <v>0</v>
      </c>
      <c r="J154" s="83">
        <v>0</v>
      </c>
      <c r="K154" s="83">
        <v>0</v>
      </c>
      <c r="L154" s="83">
        <v>0</v>
      </c>
      <c r="M154" s="83">
        <v>0</v>
      </c>
      <c r="N154" s="83">
        <v>0</v>
      </c>
      <c r="O154" s="83">
        <v>0</v>
      </c>
      <c r="P154" s="83">
        <v>0</v>
      </c>
      <c r="Q154" s="83">
        <v>0</v>
      </c>
      <c r="R154" s="116">
        <f t="shared" si="68"/>
        <v>0</v>
      </c>
      <c r="S154" s="83">
        <f t="shared" si="69"/>
        <v>0</v>
      </c>
      <c r="T154" s="83">
        <f t="shared" si="69"/>
        <v>0</v>
      </c>
      <c r="U154" s="83">
        <f t="shared" si="73"/>
        <v>0</v>
      </c>
      <c r="V154" s="83">
        <f t="shared" si="73"/>
        <v>0</v>
      </c>
      <c r="W154" s="83">
        <f t="shared" si="73"/>
        <v>0</v>
      </c>
      <c r="X154" s="83">
        <f t="shared" si="73"/>
        <v>0</v>
      </c>
      <c r="Y154" s="83">
        <f t="shared" si="73"/>
        <v>0</v>
      </c>
      <c r="Z154" s="83">
        <f t="shared" si="73"/>
        <v>0</v>
      </c>
      <c r="AA154" s="83">
        <f t="shared" si="73"/>
        <v>0</v>
      </c>
      <c r="AB154" s="83">
        <f t="shared" si="73"/>
        <v>0</v>
      </c>
      <c r="AC154" s="83">
        <f t="shared" si="73"/>
        <v>0</v>
      </c>
      <c r="AD154" s="83">
        <f t="shared" si="73"/>
        <v>0</v>
      </c>
      <c r="AE154" s="83">
        <f t="shared" si="71"/>
        <v>0</v>
      </c>
      <c r="AF154" s="83"/>
      <c r="AH154" s="83"/>
      <c r="AI154" s="83"/>
      <c r="BB154" s="101">
        <f t="shared" si="50"/>
        <v>0</v>
      </c>
      <c r="BD154" s="112">
        <f t="shared" si="63"/>
        <v>1341.8</v>
      </c>
      <c r="BE154" s="136">
        <f t="shared" si="64"/>
        <v>0</v>
      </c>
      <c r="BF154" s="137">
        <f t="shared" si="65"/>
        <v>0</v>
      </c>
      <c r="BG154" s="113">
        <f t="shared" si="66"/>
        <v>0</v>
      </c>
    </row>
    <row r="155" spans="1:59" s="62" customFormat="1" outlineLevel="1" x14ac:dyDescent="0.25">
      <c r="A155" s="62" t="str">
        <f t="shared" si="67"/>
        <v>MURREYSCOMMERCIALF6YD1W</v>
      </c>
      <c r="B155" s="81" t="s">
        <v>805</v>
      </c>
      <c r="C155" s="81" t="s">
        <v>806</v>
      </c>
      <c r="D155" s="82">
        <v>456.6</v>
      </c>
      <c r="E155" s="82">
        <v>461.36</v>
      </c>
      <c r="F155" s="83">
        <v>72142.8</v>
      </c>
      <c r="G155" s="83">
        <v>71800.350000000006</v>
      </c>
      <c r="H155" s="83">
        <v>71626.14</v>
      </c>
      <c r="I155" s="83">
        <v>76035.429999999993</v>
      </c>
      <c r="J155" s="83">
        <v>76009.06</v>
      </c>
      <c r="K155" s="83">
        <v>79238.58</v>
      </c>
      <c r="L155" s="83">
        <v>76862.58</v>
      </c>
      <c r="M155" s="83">
        <v>74488.27</v>
      </c>
      <c r="N155" s="83">
        <v>73447.28</v>
      </c>
      <c r="O155" s="83">
        <v>76338.91</v>
      </c>
      <c r="P155" s="83">
        <v>75876.26999999999</v>
      </c>
      <c r="Q155" s="83">
        <v>76223.239999999991</v>
      </c>
      <c r="R155" s="116">
        <f t="shared" si="68"/>
        <v>900088.91000000015</v>
      </c>
      <c r="S155" s="83">
        <f t="shared" si="69"/>
        <v>158</v>
      </c>
      <c r="T155" s="83">
        <f t="shared" si="69"/>
        <v>157.25</v>
      </c>
      <c r="U155" s="83">
        <f t="shared" si="73"/>
        <v>155.25</v>
      </c>
      <c r="V155" s="83">
        <f t="shared" si="73"/>
        <v>164.8071571007456</v>
      </c>
      <c r="W155" s="83">
        <f t="shared" si="73"/>
        <v>164.75</v>
      </c>
      <c r="X155" s="83">
        <f t="shared" si="73"/>
        <v>171.75</v>
      </c>
      <c r="Y155" s="83">
        <f t="shared" si="73"/>
        <v>166.60000867001906</v>
      </c>
      <c r="Z155" s="83">
        <f t="shared" si="73"/>
        <v>161.45368042309693</v>
      </c>
      <c r="AA155" s="83">
        <f t="shared" si="73"/>
        <v>159.1973296341252</v>
      </c>
      <c r="AB155" s="83">
        <f t="shared" si="73"/>
        <v>165.46495144789318</v>
      </c>
      <c r="AC155" s="83">
        <f t="shared" si="73"/>
        <v>164.46217704178946</v>
      </c>
      <c r="AD155" s="83">
        <f t="shared" si="73"/>
        <v>165.21423617131956</v>
      </c>
      <c r="AE155" s="83">
        <f t="shared" si="71"/>
        <v>162.84996170741576</v>
      </c>
      <c r="AF155" s="83"/>
      <c r="AH155" s="83"/>
      <c r="AI155" s="83"/>
      <c r="BB155" s="101">
        <f t="shared" si="50"/>
        <v>901589.50000000012</v>
      </c>
      <c r="BD155" s="112">
        <f t="shared" si="63"/>
        <v>463.52</v>
      </c>
      <c r="BE155" s="136">
        <f t="shared" si="64"/>
        <v>905810.57100745616</v>
      </c>
      <c r="BF155" s="137">
        <f t="shared" si="65"/>
        <v>4221.0710074560484</v>
      </c>
      <c r="BG155" s="113">
        <f t="shared" si="66"/>
        <v>4.6818102999824727E-3</v>
      </c>
    </row>
    <row r="156" spans="1:59" s="62" customFormat="1" outlineLevel="1" x14ac:dyDescent="0.25">
      <c r="A156" s="62" t="str">
        <f t="shared" si="67"/>
        <v>MURREYSCOMMERCIALF6YD2W</v>
      </c>
      <c r="B156" s="81" t="s">
        <v>807</v>
      </c>
      <c r="C156" s="81" t="s">
        <v>808</v>
      </c>
      <c r="D156" s="82">
        <v>913.2</v>
      </c>
      <c r="E156" s="82">
        <v>922.72</v>
      </c>
      <c r="F156" s="83">
        <v>94972.800000000003</v>
      </c>
      <c r="G156" s="83">
        <v>94059.6</v>
      </c>
      <c r="H156" s="83">
        <v>90743.239999999991</v>
      </c>
      <c r="I156" s="83">
        <v>71216.039999999994</v>
      </c>
      <c r="J156" s="83">
        <v>72395.070000000007</v>
      </c>
      <c r="K156" s="83">
        <v>78828.479999999996</v>
      </c>
      <c r="L156" s="83">
        <v>79871.67</v>
      </c>
      <c r="M156" s="83">
        <v>84435.45</v>
      </c>
      <c r="N156" s="83">
        <v>86401.76</v>
      </c>
      <c r="O156" s="83">
        <v>89524.709999999992</v>
      </c>
      <c r="P156" s="83">
        <v>87211.41</v>
      </c>
      <c r="Q156" s="83">
        <v>84319.790000000008</v>
      </c>
      <c r="R156" s="116">
        <f t="shared" si="68"/>
        <v>1013980.02</v>
      </c>
      <c r="S156" s="83">
        <f t="shared" si="69"/>
        <v>104</v>
      </c>
      <c r="T156" s="83">
        <f t="shared" si="69"/>
        <v>103</v>
      </c>
      <c r="U156" s="83">
        <f t="shared" si="73"/>
        <v>98.34320270504594</v>
      </c>
      <c r="V156" s="83">
        <f t="shared" si="73"/>
        <v>77.180553147216912</v>
      </c>
      <c r="W156" s="83">
        <f t="shared" si="73"/>
        <v>78.45832972082539</v>
      </c>
      <c r="X156" s="83">
        <f t="shared" si="73"/>
        <v>85.430553147216912</v>
      </c>
      <c r="Y156" s="83">
        <f t="shared" si="73"/>
        <v>86.561112796948152</v>
      </c>
      <c r="Z156" s="83">
        <f t="shared" si="73"/>
        <v>91.507120253164544</v>
      </c>
      <c r="AA156" s="83">
        <f t="shared" si="73"/>
        <v>93.638113403849474</v>
      </c>
      <c r="AB156" s="83">
        <f t="shared" si="73"/>
        <v>97.022617912259392</v>
      </c>
      <c r="AC156" s="83">
        <f t="shared" si="73"/>
        <v>94.515573521761752</v>
      </c>
      <c r="AD156" s="83">
        <f t="shared" si="73"/>
        <v>91.381773452401603</v>
      </c>
      <c r="AE156" s="83">
        <f t="shared" si="71"/>
        <v>91.753245838390853</v>
      </c>
      <c r="AF156" s="83"/>
      <c r="AH156" s="83"/>
      <c r="AI156" s="83"/>
      <c r="BB156" s="101">
        <f t="shared" si="50"/>
        <v>1015950.6600000001</v>
      </c>
      <c r="BD156" s="112">
        <f t="shared" si="63"/>
        <v>927.04</v>
      </c>
      <c r="BE156" s="136">
        <f t="shared" si="64"/>
        <v>1020707.1482642622</v>
      </c>
      <c r="BF156" s="137">
        <f t="shared" si="65"/>
        <v>4756.4882642620942</v>
      </c>
      <c r="BG156" s="113">
        <f t="shared" si="66"/>
        <v>4.6818102999825733E-3</v>
      </c>
    </row>
    <row r="157" spans="1:59" s="62" customFormat="1" outlineLevel="1" x14ac:dyDescent="0.25">
      <c r="A157" s="62" t="str">
        <f t="shared" si="67"/>
        <v>MURREYSCOMMERCIALF6YD3W</v>
      </c>
      <c r="B157" s="81" t="s">
        <v>809</v>
      </c>
      <c r="C157" s="81" t="s">
        <v>810</v>
      </c>
      <c r="D157" s="82">
        <v>1369.8</v>
      </c>
      <c r="E157" s="82">
        <v>1384.08</v>
      </c>
      <c r="F157" s="83">
        <v>27396</v>
      </c>
      <c r="G157" s="83">
        <v>28195.05</v>
      </c>
      <c r="H157" s="83">
        <v>29810.949999999997</v>
      </c>
      <c r="I157" s="83">
        <v>27838.760000000002</v>
      </c>
      <c r="J157" s="83">
        <v>23644.699999999997</v>
      </c>
      <c r="K157" s="83">
        <v>28426.87</v>
      </c>
      <c r="L157" s="83">
        <v>29988.400000000001</v>
      </c>
      <c r="M157" s="83">
        <v>33498.369999999995</v>
      </c>
      <c r="N157" s="83">
        <v>29147.58</v>
      </c>
      <c r="O157" s="83">
        <v>29147.58</v>
      </c>
      <c r="P157" s="83">
        <v>26371.620000000003</v>
      </c>
      <c r="Q157" s="83">
        <v>26371.620000000003</v>
      </c>
      <c r="R157" s="116">
        <f t="shared" si="68"/>
        <v>339837.5</v>
      </c>
      <c r="S157" s="83">
        <f t="shared" si="69"/>
        <v>20</v>
      </c>
      <c r="T157" s="83">
        <f t="shared" si="69"/>
        <v>20.583333333333332</v>
      </c>
      <c r="U157" s="83">
        <f t="shared" si="73"/>
        <v>21.53845875960927</v>
      </c>
      <c r="V157" s="83">
        <f t="shared" si="73"/>
        <v>20.113548349806372</v>
      </c>
      <c r="W157" s="83">
        <f t="shared" si="73"/>
        <v>17.083333333333332</v>
      </c>
      <c r="X157" s="83">
        <f t="shared" si="73"/>
        <v>20.53845875960927</v>
      </c>
      <c r="Y157" s="83">
        <f t="shared" si="73"/>
        <v>21.666666666666668</v>
      </c>
      <c r="Z157" s="83">
        <f t="shared" si="73"/>
        <v>24.202625570776252</v>
      </c>
      <c r="AA157" s="83">
        <f t="shared" si="73"/>
        <v>21.059172880180338</v>
      </c>
      <c r="AB157" s="83">
        <f t="shared" si="73"/>
        <v>21.059172880180338</v>
      </c>
      <c r="AC157" s="83">
        <f t="shared" si="73"/>
        <v>19.053537367782212</v>
      </c>
      <c r="AD157" s="83">
        <f t="shared" si="73"/>
        <v>19.053537367782212</v>
      </c>
      <c r="AE157" s="83">
        <f t="shared" si="71"/>
        <v>20.495987105754967</v>
      </c>
      <c r="AF157" s="83"/>
      <c r="AH157" s="83"/>
      <c r="AI157" s="83"/>
      <c r="BB157" s="101">
        <f t="shared" si="50"/>
        <v>340417.03</v>
      </c>
      <c r="BD157" s="112">
        <f t="shared" si="63"/>
        <v>1390.56</v>
      </c>
      <c r="BE157" s="136">
        <f t="shared" si="64"/>
        <v>342010.79795734352</v>
      </c>
      <c r="BF157" s="137">
        <f t="shared" si="65"/>
        <v>1593.7679573434871</v>
      </c>
      <c r="BG157" s="113">
        <f t="shared" si="66"/>
        <v>4.6818102999826037E-3</v>
      </c>
    </row>
    <row r="158" spans="1:59" s="62" customFormat="1" outlineLevel="1" x14ac:dyDescent="0.25">
      <c r="A158" s="62" t="str">
        <f t="shared" si="67"/>
        <v>MURREYSCOMMERCIALF6YD4W</v>
      </c>
      <c r="B158" s="81" t="s">
        <v>811</v>
      </c>
      <c r="C158" s="81" t="s">
        <v>812</v>
      </c>
      <c r="D158" s="82">
        <v>1826.39</v>
      </c>
      <c r="E158" s="82">
        <v>1845.45</v>
      </c>
      <c r="F158" s="83">
        <v>7305.56</v>
      </c>
      <c r="G158" s="83">
        <v>7305.56</v>
      </c>
      <c r="H158" s="83">
        <v>7381.8</v>
      </c>
      <c r="I158" s="83">
        <v>5536.35</v>
      </c>
      <c r="J158" s="83">
        <v>5536.35</v>
      </c>
      <c r="K158" s="83">
        <v>5536.35</v>
      </c>
      <c r="L158" s="83">
        <v>2076.13</v>
      </c>
      <c r="M158" s="83">
        <v>1850.64</v>
      </c>
      <c r="N158" s="83">
        <v>3701.28</v>
      </c>
      <c r="O158" s="83">
        <v>4681.04</v>
      </c>
      <c r="P158" s="83">
        <v>1850.64</v>
      </c>
      <c r="Q158" s="83">
        <v>1850.64</v>
      </c>
      <c r="R158" s="116">
        <f t="shared" si="68"/>
        <v>54612.34</v>
      </c>
      <c r="S158" s="83">
        <f t="shared" si="69"/>
        <v>4</v>
      </c>
      <c r="T158" s="83">
        <f t="shared" si="69"/>
        <v>4</v>
      </c>
      <c r="U158" s="83">
        <f t="shared" si="73"/>
        <v>4</v>
      </c>
      <c r="V158" s="83">
        <f t="shared" si="73"/>
        <v>3</v>
      </c>
      <c r="W158" s="83">
        <f t="shared" si="73"/>
        <v>3</v>
      </c>
      <c r="X158" s="83">
        <f t="shared" si="73"/>
        <v>3</v>
      </c>
      <c r="Y158" s="83">
        <f t="shared" si="73"/>
        <v>1.1249993226584303</v>
      </c>
      <c r="Z158" s="83">
        <f t="shared" si="73"/>
        <v>1.002812322197838</v>
      </c>
      <c r="AA158" s="83">
        <f t="shared" si="73"/>
        <v>2.005624644395676</v>
      </c>
      <c r="AB158" s="83">
        <f t="shared" si="73"/>
        <v>2.5365303855428216</v>
      </c>
      <c r="AC158" s="83">
        <f t="shared" si="73"/>
        <v>1.002812322197838</v>
      </c>
      <c r="AD158" s="83">
        <f t="shared" si="73"/>
        <v>1.002812322197838</v>
      </c>
      <c r="AE158" s="83">
        <f t="shared" si="71"/>
        <v>2.4729659432658697</v>
      </c>
      <c r="AF158" s="83"/>
      <c r="AH158" s="83"/>
      <c r="AI158" s="83"/>
      <c r="BB158" s="101">
        <f t="shared" si="50"/>
        <v>54764.819999999992</v>
      </c>
      <c r="BD158" s="112">
        <f t="shared" si="63"/>
        <v>1854.09</v>
      </c>
      <c r="BE158" s="136">
        <f t="shared" si="64"/>
        <v>55021.217108997793</v>
      </c>
      <c r="BF158" s="137">
        <f t="shared" si="65"/>
        <v>256.39710899780039</v>
      </c>
      <c r="BG158" s="113">
        <f t="shared" si="66"/>
        <v>4.6817849305046642E-3</v>
      </c>
    </row>
    <row r="159" spans="1:59" s="62" customFormat="1" outlineLevel="1" x14ac:dyDescent="0.25">
      <c r="A159" s="62" t="str">
        <f t="shared" si="67"/>
        <v>MURREYSCOMMERCIALF6YD5W</v>
      </c>
      <c r="B159" s="81" t="s">
        <v>813</v>
      </c>
      <c r="C159" s="81" t="s">
        <v>814</v>
      </c>
      <c r="D159" s="82">
        <v>1141.4949999999999</v>
      </c>
      <c r="E159" s="82">
        <v>1153.405</v>
      </c>
      <c r="F159" s="83">
        <v>9131.9599999999991</v>
      </c>
      <c r="G159" s="83">
        <v>9131.9599999999991</v>
      </c>
      <c r="H159" s="83">
        <v>9227.24</v>
      </c>
      <c r="I159" s="83">
        <v>9227.24</v>
      </c>
      <c r="J159" s="83">
        <v>9227.24</v>
      </c>
      <c r="K159" s="83">
        <v>9227.24</v>
      </c>
      <c r="L159" s="83">
        <v>11233.16</v>
      </c>
      <c r="M159" s="83">
        <v>11566.5</v>
      </c>
      <c r="N159" s="83">
        <v>11566.5</v>
      </c>
      <c r="O159" s="83">
        <v>17244.599999999999</v>
      </c>
      <c r="P159" s="83">
        <v>20819.699999999997</v>
      </c>
      <c r="Q159" s="83">
        <v>20819.699999999997</v>
      </c>
      <c r="R159" s="116">
        <f t="shared" si="68"/>
        <v>148423.03999999998</v>
      </c>
      <c r="S159" s="83">
        <f t="shared" si="69"/>
        <v>8</v>
      </c>
      <c r="T159" s="83">
        <f t="shared" si="69"/>
        <v>8</v>
      </c>
      <c r="U159" s="83">
        <f t="shared" si="73"/>
        <v>8</v>
      </c>
      <c r="V159" s="83">
        <f t="shared" si="73"/>
        <v>8</v>
      </c>
      <c r="W159" s="83">
        <f t="shared" si="73"/>
        <v>8</v>
      </c>
      <c r="X159" s="83">
        <f t="shared" si="73"/>
        <v>8</v>
      </c>
      <c r="Y159" s="83">
        <f t="shared" si="73"/>
        <v>9.7391289269597419</v>
      </c>
      <c r="Z159" s="83">
        <f t="shared" si="73"/>
        <v>10.028134089933719</v>
      </c>
      <c r="AA159" s="83">
        <f t="shared" si="73"/>
        <v>10.028134089933719</v>
      </c>
      <c r="AB159" s="83">
        <f t="shared" si="73"/>
        <v>14.951036279537542</v>
      </c>
      <c r="AC159" s="83">
        <f t="shared" si="73"/>
        <v>18.05064136188069</v>
      </c>
      <c r="AD159" s="83">
        <f t="shared" si="73"/>
        <v>18.05064136188069</v>
      </c>
      <c r="AE159" s="83">
        <f t="shared" si="71"/>
        <v>10.737309675843841</v>
      </c>
      <c r="AF159" s="83"/>
      <c r="AH159" s="83"/>
      <c r="AI159" s="83"/>
      <c r="BB159" s="101">
        <f t="shared" si="50"/>
        <v>148613.59999999998</v>
      </c>
      <c r="BD159" s="112">
        <f t="shared" si="63"/>
        <v>1158.8</v>
      </c>
      <c r="BE159" s="136">
        <f t="shared" si="64"/>
        <v>149308.7334284141</v>
      </c>
      <c r="BF159" s="137">
        <f t="shared" si="65"/>
        <v>695.13342841411941</v>
      </c>
      <c r="BG159" s="113">
        <f t="shared" si="66"/>
        <v>4.6774550136334733E-3</v>
      </c>
    </row>
    <row r="160" spans="1:59" s="62" customFormat="1" outlineLevel="1" x14ac:dyDescent="0.25">
      <c r="A160" s="62" t="str">
        <f t="shared" si="67"/>
        <v>MURREYSCOMMERCIALF6YDEX</v>
      </c>
      <c r="B160" s="81" t="s">
        <v>815</v>
      </c>
      <c r="C160" s="81" t="s">
        <v>816</v>
      </c>
      <c r="D160" s="82">
        <v>107.63</v>
      </c>
      <c r="E160" s="82">
        <v>108.73</v>
      </c>
      <c r="F160" s="83">
        <v>1399.19</v>
      </c>
      <c r="G160" s="83">
        <v>861.04</v>
      </c>
      <c r="H160" s="83">
        <v>1074.0899999999999</v>
      </c>
      <c r="I160" s="83">
        <v>2392.06</v>
      </c>
      <c r="J160" s="83">
        <v>3044.44</v>
      </c>
      <c r="K160" s="83">
        <v>3044.44</v>
      </c>
      <c r="L160" s="83">
        <v>2772.75</v>
      </c>
      <c r="M160" s="83">
        <v>2289.63</v>
      </c>
      <c r="N160" s="83">
        <v>3488.96</v>
      </c>
      <c r="O160" s="83">
        <v>1744.48</v>
      </c>
      <c r="P160" s="83">
        <v>1308.3600000000001</v>
      </c>
      <c r="Q160" s="83">
        <v>1635.45</v>
      </c>
      <c r="R160" s="116">
        <f t="shared" si="68"/>
        <v>25054.89</v>
      </c>
      <c r="S160" s="83">
        <f t="shared" si="69"/>
        <v>13.000000000000002</v>
      </c>
      <c r="T160" s="83">
        <f t="shared" si="69"/>
        <v>8</v>
      </c>
      <c r="U160" s="83">
        <f t="shared" si="73"/>
        <v>9.8785063919801335</v>
      </c>
      <c r="V160" s="83">
        <f t="shared" si="73"/>
        <v>22</v>
      </c>
      <c r="W160" s="83">
        <f t="shared" si="73"/>
        <v>28</v>
      </c>
      <c r="X160" s="83">
        <f t="shared" si="73"/>
        <v>28</v>
      </c>
      <c r="Y160" s="83">
        <f t="shared" si="73"/>
        <v>25.501241607651981</v>
      </c>
      <c r="Z160" s="83">
        <f t="shared" si="73"/>
        <v>21.057941690425825</v>
      </c>
      <c r="AA160" s="83">
        <f t="shared" si="73"/>
        <v>32.088292099696496</v>
      </c>
      <c r="AB160" s="83">
        <f t="shared" si="73"/>
        <v>16.044146049848248</v>
      </c>
      <c r="AC160" s="83">
        <f t="shared" si="73"/>
        <v>12.033109537386187</v>
      </c>
      <c r="AD160" s="83">
        <f t="shared" si="73"/>
        <v>15.041386921732732</v>
      </c>
      <c r="AE160" s="83">
        <f t="shared" si="71"/>
        <v>19.220385358226803</v>
      </c>
      <c r="AF160" s="83"/>
      <c r="AH160" s="83"/>
      <c r="AI160" s="83"/>
      <c r="BB160" s="101">
        <f t="shared" ref="BB160:BB223" si="74">+AE160*E160*12</f>
        <v>25077.990000000005</v>
      </c>
      <c r="BD160" s="112">
        <f t="shared" si="63"/>
        <v>109.24</v>
      </c>
      <c r="BE160" s="136">
        <f t="shared" si="64"/>
        <v>25195.618758392353</v>
      </c>
      <c r="BF160" s="137">
        <f t="shared" si="65"/>
        <v>117.62875839234766</v>
      </c>
      <c r="BG160" s="113">
        <f t="shared" si="66"/>
        <v>4.6905177963763303E-3</v>
      </c>
    </row>
    <row r="161" spans="1:59" s="62" customFormat="1" outlineLevel="1" x14ac:dyDescent="0.25">
      <c r="A161" s="62" t="str">
        <f t="shared" si="67"/>
        <v>MURREYSCOMMERCIALF8YD2W</v>
      </c>
      <c r="B161" s="81" t="s">
        <v>817</v>
      </c>
      <c r="C161" s="81" t="s">
        <v>818</v>
      </c>
      <c r="D161" s="82">
        <v>0</v>
      </c>
      <c r="E161" s="82">
        <v>0</v>
      </c>
      <c r="F161" s="83">
        <v>0</v>
      </c>
      <c r="G161" s="83">
        <v>0</v>
      </c>
      <c r="H161" s="83">
        <v>0</v>
      </c>
      <c r="I161" s="83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  <c r="Q161" s="83">
        <v>0</v>
      </c>
      <c r="R161" s="116">
        <f t="shared" si="68"/>
        <v>0</v>
      </c>
      <c r="S161" s="83">
        <f t="shared" si="69"/>
        <v>0</v>
      </c>
      <c r="T161" s="83">
        <f t="shared" si="69"/>
        <v>0</v>
      </c>
      <c r="U161" s="83">
        <f t="shared" si="73"/>
        <v>0</v>
      </c>
      <c r="V161" s="83">
        <f t="shared" si="73"/>
        <v>0</v>
      </c>
      <c r="W161" s="83">
        <f t="shared" si="73"/>
        <v>0</v>
      </c>
      <c r="X161" s="83">
        <f t="shared" si="73"/>
        <v>0</v>
      </c>
      <c r="Y161" s="83">
        <f t="shared" si="73"/>
        <v>0</v>
      </c>
      <c r="Z161" s="83">
        <f t="shared" si="73"/>
        <v>0</v>
      </c>
      <c r="AA161" s="83">
        <f t="shared" si="73"/>
        <v>0</v>
      </c>
      <c r="AB161" s="83">
        <f t="shared" si="73"/>
        <v>0</v>
      </c>
      <c r="AC161" s="83">
        <f t="shared" si="73"/>
        <v>0</v>
      </c>
      <c r="AD161" s="83">
        <f t="shared" si="73"/>
        <v>0</v>
      </c>
      <c r="AE161" s="83">
        <f t="shared" si="71"/>
        <v>0</v>
      </c>
      <c r="AF161" s="83"/>
      <c r="AH161" s="83"/>
      <c r="AI161" s="83"/>
      <c r="BB161" s="101">
        <f t="shared" si="74"/>
        <v>0</v>
      </c>
      <c r="BD161" s="112">
        <f t="shared" si="63"/>
        <v>0</v>
      </c>
      <c r="BE161" s="136">
        <f t="shared" si="64"/>
        <v>0</v>
      </c>
      <c r="BF161" s="137">
        <f t="shared" si="65"/>
        <v>0</v>
      </c>
      <c r="BG161" s="113">
        <f t="shared" si="66"/>
        <v>0</v>
      </c>
    </row>
    <row r="162" spans="1:59" s="62" customFormat="1" outlineLevel="1" x14ac:dyDescent="0.25">
      <c r="A162" s="62" t="str">
        <f t="shared" si="67"/>
        <v>MURREYSCOMMERCIALFCP2YD1W2.25-1</v>
      </c>
      <c r="B162" s="81" t="s">
        <v>819</v>
      </c>
      <c r="C162" s="81" t="s">
        <v>820</v>
      </c>
      <c r="D162" s="82">
        <v>375.24</v>
      </c>
      <c r="E162" s="82">
        <v>379.39</v>
      </c>
      <c r="F162" s="83">
        <v>375.24</v>
      </c>
      <c r="G162" s="83">
        <v>375.24</v>
      </c>
      <c r="H162" s="83">
        <v>379.39</v>
      </c>
      <c r="I162" s="83">
        <v>379.39</v>
      </c>
      <c r="J162" s="83">
        <v>379.39</v>
      </c>
      <c r="K162" s="83">
        <v>284.54000000000002</v>
      </c>
      <c r="L162" s="83">
        <v>0</v>
      </c>
      <c r="M162" s="83">
        <v>95.11</v>
      </c>
      <c r="N162" s="83">
        <v>380.43</v>
      </c>
      <c r="O162" s="83">
        <v>380.43</v>
      </c>
      <c r="P162" s="83">
        <v>380.43</v>
      </c>
      <c r="Q162" s="83">
        <v>380.43</v>
      </c>
      <c r="R162" s="116">
        <f t="shared" si="68"/>
        <v>3790.0199999999991</v>
      </c>
      <c r="S162" s="83">
        <f t="shared" si="69"/>
        <v>1</v>
      </c>
      <c r="T162" s="83">
        <f t="shared" si="69"/>
        <v>1</v>
      </c>
      <c r="U162" s="83">
        <f t="shared" si="73"/>
        <v>1</v>
      </c>
      <c r="V162" s="83">
        <f t="shared" si="73"/>
        <v>1</v>
      </c>
      <c r="W162" s="83">
        <f t="shared" si="73"/>
        <v>1</v>
      </c>
      <c r="X162" s="83">
        <f t="shared" si="73"/>
        <v>0.74999341047470947</v>
      </c>
      <c r="Y162" s="83">
        <f t="shared" si="73"/>
        <v>0</v>
      </c>
      <c r="Z162" s="83">
        <f t="shared" si="73"/>
        <v>0.25069190015551279</v>
      </c>
      <c r="AA162" s="83">
        <f t="shared" si="73"/>
        <v>1.0027412425208888</v>
      </c>
      <c r="AB162" s="83">
        <f t="shared" si="73"/>
        <v>1.0027412425208888</v>
      </c>
      <c r="AC162" s="83">
        <f t="shared" si="73"/>
        <v>1.0027412425208888</v>
      </c>
      <c r="AD162" s="83">
        <f t="shared" si="73"/>
        <v>1.0027412425208888</v>
      </c>
      <c r="AE162" s="83">
        <f t="shared" si="71"/>
        <v>0.83430419005948142</v>
      </c>
      <c r="AF162" s="83"/>
      <c r="AH162" s="83"/>
      <c r="AI162" s="83"/>
      <c r="BB162" s="101">
        <f t="shared" si="74"/>
        <v>3798.3199999999997</v>
      </c>
      <c r="BD162" s="112">
        <f t="shared" si="63"/>
        <v>381.17</v>
      </c>
      <c r="BE162" s="136">
        <f t="shared" si="64"/>
        <v>3816.1407374996706</v>
      </c>
      <c r="BF162" s="137">
        <f t="shared" si="65"/>
        <v>17.82073749967094</v>
      </c>
      <c r="BG162" s="113">
        <f t="shared" si="66"/>
        <v>4.6917420069059329E-3</v>
      </c>
    </row>
    <row r="163" spans="1:59" s="62" customFormat="1" outlineLevel="1" x14ac:dyDescent="0.25">
      <c r="A163" s="62" t="str">
        <f t="shared" si="67"/>
        <v>MURREYSCOMMERCIALFCP2YD1W4-1</v>
      </c>
      <c r="B163" s="81" t="s">
        <v>821</v>
      </c>
      <c r="C163" s="81" t="s">
        <v>822</v>
      </c>
      <c r="D163" s="82">
        <v>0</v>
      </c>
      <c r="E163" s="82">
        <v>0</v>
      </c>
      <c r="F163" s="83">
        <v>0</v>
      </c>
      <c r="G163" s="83">
        <v>0</v>
      </c>
      <c r="H163" s="83">
        <v>0</v>
      </c>
      <c r="I163" s="83">
        <v>0</v>
      </c>
      <c r="J163" s="83">
        <v>0</v>
      </c>
      <c r="K163" s="83">
        <v>0</v>
      </c>
      <c r="L163" s="83">
        <v>0</v>
      </c>
      <c r="M163" s="83">
        <v>0</v>
      </c>
      <c r="N163" s="83">
        <v>0</v>
      </c>
      <c r="O163" s="83">
        <v>0</v>
      </c>
      <c r="P163" s="83">
        <v>0</v>
      </c>
      <c r="Q163" s="83">
        <v>0</v>
      </c>
      <c r="R163" s="116">
        <f t="shared" si="68"/>
        <v>0</v>
      </c>
      <c r="S163" s="83">
        <f t="shared" si="69"/>
        <v>0</v>
      </c>
      <c r="T163" s="83">
        <f t="shared" si="69"/>
        <v>0</v>
      </c>
      <c r="U163" s="83">
        <f t="shared" si="73"/>
        <v>0</v>
      </c>
      <c r="V163" s="83">
        <f t="shared" si="73"/>
        <v>0</v>
      </c>
      <c r="W163" s="83">
        <f t="shared" si="73"/>
        <v>0</v>
      </c>
      <c r="X163" s="83">
        <f t="shared" si="73"/>
        <v>0</v>
      </c>
      <c r="Y163" s="83">
        <f t="shared" si="73"/>
        <v>0</v>
      </c>
      <c r="Z163" s="83">
        <f t="shared" si="73"/>
        <v>0</v>
      </c>
      <c r="AA163" s="83">
        <f t="shared" si="73"/>
        <v>0</v>
      </c>
      <c r="AB163" s="83">
        <f t="shared" si="73"/>
        <v>0</v>
      </c>
      <c r="AC163" s="83">
        <f t="shared" si="73"/>
        <v>0</v>
      </c>
      <c r="AD163" s="83">
        <f t="shared" si="73"/>
        <v>0</v>
      </c>
      <c r="AE163" s="83">
        <f t="shared" si="71"/>
        <v>0</v>
      </c>
      <c r="AF163" s="83"/>
      <c r="AH163" s="83"/>
      <c r="AI163" s="83"/>
      <c r="BB163" s="101">
        <f t="shared" si="74"/>
        <v>0</v>
      </c>
      <c r="BD163" s="112">
        <f t="shared" si="63"/>
        <v>0</v>
      </c>
      <c r="BE163" s="136">
        <f t="shared" si="64"/>
        <v>0</v>
      </c>
      <c r="BF163" s="137">
        <f t="shared" si="65"/>
        <v>0</v>
      </c>
      <c r="BG163" s="113">
        <f t="shared" si="66"/>
        <v>0</v>
      </c>
    </row>
    <row r="164" spans="1:59" s="62" customFormat="1" outlineLevel="1" x14ac:dyDescent="0.25">
      <c r="A164" s="62" t="str">
        <f t="shared" si="67"/>
        <v>MURREYSCOMMERCIALFCP2YD2W</v>
      </c>
      <c r="B164" s="81" t="s">
        <v>823</v>
      </c>
      <c r="C164" s="81" t="s">
        <v>824</v>
      </c>
      <c r="D164" s="82">
        <v>0</v>
      </c>
      <c r="E164" s="82">
        <v>0</v>
      </c>
      <c r="F164" s="83">
        <v>0</v>
      </c>
      <c r="G164" s="83">
        <v>0</v>
      </c>
      <c r="H164" s="83">
        <v>0</v>
      </c>
      <c r="I164" s="83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  <c r="Q164" s="83">
        <v>0</v>
      </c>
      <c r="R164" s="116">
        <f t="shared" si="68"/>
        <v>0</v>
      </c>
      <c r="S164" s="83">
        <f t="shared" si="69"/>
        <v>0</v>
      </c>
      <c r="T164" s="83">
        <f t="shared" si="69"/>
        <v>0</v>
      </c>
      <c r="U164" s="83">
        <f t="shared" ref="U164:AD189" si="75">+IFERROR(H164/$E164,0)</f>
        <v>0</v>
      </c>
      <c r="V164" s="83">
        <f t="shared" si="75"/>
        <v>0</v>
      </c>
      <c r="W164" s="83">
        <f t="shared" si="75"/>
        <v>0</v>
      </c>
      <c r="X164" s="83">
        <f t="shared" si="75"/>
        <v>0</v>
      </c>
      <c r="Y164" s="83">
        <f t="shared" si="75"/>
        <v>0</v>
      </c>
      <c r="Z164" s="83">
        <f t="shared" si="75"/>
        <v>0</v>
      </c>
      <c r="AA164" s="83">
        <f t="shared" si="75"/>
        <v>0</v>
      </c>
      <c r="AB164" s="83">
        <f t="shared" si="75"/>
        <v>0</v>
      </c>
      <c r="AC164" s="83">
        <f t="shared" si="75"/>
        <v>0</v>
      </c>
      <c r="AD164" s="83">
        <f t="shared" si="75"/>
        <v>0</v>
      </c>
      <c r="AE164" s="83">
        <f t="shared" si="71"/>
        <v>0</v>
      </c>
      <c r="AF164" s="83"/>
      <c r="AH164" s="83"/>
      <c r="AI164" s="83"/>
      <c r="BB164" s="101">
        <f t="shared" si="74"/>
        <v>0</v>
      </c>
      <c r="BD164" s="112">
        <f t="shared" si="63"/>
        <v>0</v>
      </c>
      <c r="BE164" s="136">
        <f t="shared" si="64"/>
        <v>0</v>
      </c>
      <c r="BF164" s="137">
        <f t="shared" si="65"/>
        <v>0</v>
      </c>
      <c r="BG164" s="113">
        <f t="shared" si="66"/>
        <v>0</v>
      </c>
    </row>
    <row r="165" spans="1:59" s="62" customFormat="1" outlineLevel="1" x14ac:dyDescent="0.25">
      <c r="A165" s="62" t="str">
        <f t="shared" si="67"/>
        <v>MURREYSCOMMERCIALF1.5YD2W</v>
      </c>
      <c r="B165" s="81" t="s">
        <v>795</v>
      </c>
      <c r="C165" s="81" t="s">
        <v>796</v>
      </c>
      <c r="D165" s="82">
        <v>281.97000000000003</v>
      </c>
      <c r="E165" s="82">
        <v>284.83</v>
      </c>
      <c r="F165" s="83">
        <v>0</v>
      </c>
      <c r="G165" s="83">
        <v>0</v>
      </c>
      <c r="H165" s="83">
        <v>0</v>
      </c>
      <c r="I165" s="83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  <c r="Q165" s="83">
        <v>0</v>
      </c>
      <c r="R165" s="116">
        <f t="shared" si="68"/>
        <v>0</v>
      </c>
      <c r="S165" s="83">
        <f t="shared" si="69"/>
        <v>0</v>
      </c>
      <c r="T165" s="83">
        <f t="shared" si="69"/>
        <v>0</v>
      </c>
      <c r="U165" s="83">
        <f t="shared" si="75"/>
        <v>0</v>
      </c>
      <c r="V165" s="83">
        <f t="shared" si="75"/>
        <v>0</v>
      </c>
      <c r="W165" s="83">
        <f t="shared" si="75"/>
        <v>0</v>
      </c>
      <c r="X165" s="83">
        <f t="shared" si="75"/>
        <v>0</v>
      </c>
      <c r="Y165" s="83">
        <f t="shared" si="75"/>
        <v>0</v>
      </c>
      <c r="Z165" s="83">
        <f t="shared" si="75"/>
        <v>0</v>
      </c>
      <c r="AA165" s="83">
        <f t="shared" si="75"/>
        <v>0</v>
      </c>
      <c r="AB165" s="83">
        <f t="shared" si="75"/>
        <v>0</v>
      </c>
      <c r="AC165" s="83">
        <f t="shared" si="75"/>
        <v>0</v>
      </c>
      <c r="AD165" s="83">
        <f t="shared" si="75"/>
        <v>0</v>
      </c>
      <c r="AE165" s="83">
        <f t="shared" si="71"/>
        <v>0</v>
      </c>
      <c r="AF165" s="83"/>
      <c r="AH165" s="83"/>
      <c r="AI165" s="83"/>
      <c r="BB165" s="101">
        <f t="shared" si="74"/>
        <v>0</v>
      </c>
      <c r="BD165" s="112">
        <f t="shared" si="63"/>
        <v>286.16000000000003</v>
      </c>
      <c r="BE165" s="136">
        <f t="shared" si="64"/>
        <v>0</v>
      </c>
      <c r="BF165" s="137">
        <f t="shared" si="65"/>
        <v>0</v>
      </c>
      <c r="BG165" s="113">
        <f t="shared" si="66"/>
        <v>0</v>
      </c>
    </row>
    <row r="166" spans="1:59" s="62" customFormat="1" outlineLevel="1" x14ac:dyDescent="0.25">
      <c r="A166" s="62" t="str">
        <f t="shared" si="67"/>
        <v>MURREYSCOMMERCIALFCP2YD1W</v>
      </c>
      <c r="B166" s="81" t="s">
        <v>825</v>
      </c>
      <c r="C166" s="81" t="s">
        <v>826</v>
      </c>
      <c r="D166" s="82">
        <v>0</v>
      </c>
      <c r="E166" s="82">
        <v>0</v>
      </c>
      <c r="F166" s="83">
        <v>0</v>
      </c>
      <c r="G166" s="83">
        <v>0</v>
      </c>
      <c r="H166" s="83">
        <v>0</v>
      </c>
      <c r="I166" s="83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83">
        <v>0</v>
      </c>
      <c r="P166" s="83">
        <v>0</v>
      </c>
      <c r="Q166" s="83">
        <v>0</v>
      </c>
      <c r="R166" s="116">
        <f t="shared" si="68"/>
        <v>0</v>
      </c>
      <c r="S166" s="83">
        <f t="shared" si="69"/>
        <v>0</v>
      </c>
      <c r="T166" s="83">
        <f t="shared" si="69"/>
        <v>0</v>
      </c>
      <c r="U166" s="83">
        <f t="shared" si="75"/>
        <v>0</v>
      </c>
      <c r="V166" s="83">
        <f t="shared" si="75"/>
        <v>0</v>
      </c>
      <c r="W166" s="83">
        <f t="shared" si="75"/>
        <v>0</v>
      </c>
      <c r="X166" s="83">
        <f t="shared" si="75"/>
        <v>0</v>
      </c>
      <c r="Y166" s="83">
        <f t="shared" si="75"/>
        <v>0</v>
      </c>
      <c r="Z166" s="83">
        <f t="shared" si="75"/>
        <v>0</v>
      </c>
      <c r="AA166" s="83">
        <f t="shared" si="75"/>
        <v>0</v>
      </c>
      <c r="AB166" s="83">
        <f t="shared" si="75"/>
        <v>0</v>
      </c>
      <c r="AC166" s="83">
        <f t="shared" si="75"/>
        <v>0</v>
      </c>
      <c r="AD166" s="83">
        <f t="shared" si="75"/>
        <v>0</v>
      </c>
      <c r="AE166" s="83">
        <f t="shared" si="71"/>
        <v>0</v>
      </c>
      <c r="AF166" s="83"/>
      <c r="AH166" s="83"/>
      <c r="AI166" s="83"/>
      <c r="BB166" s="101">
        <f t="shared" si="74"/>
        <v>0</v>
      </c>
      <c r="BD166" s="112">
        <f t="shared" si="63"/>
        <v>0</v>
      </c>
      <c r="BE166" s="136">
        <f t="shared" si="64"/>
        <v>0</v>
      </c>
      <c r="BF166" s="137">
        <f t="shared" si="65"/>
        <v>0</v>
      </c>
      <c r="BG166" s="113">
        <f t="shared" si="66"/>
        <v>0</v>
      </c>
    </row>
    <row r="167" spans="1:59" s="62" customFormat="1" outlineLevel="1" x14ac:dyDescent="0.25">
      <c r="A167" s="62" t="str">
        <f t="shared" si="67"/>
        <v>MURREYSCOMMERCIALFCP4YDEX</v>
      </c>
      <c r="B167" s="81" t="s">
        <v>827</v>
      </c>
      <c r="C167" s="81" t="s">
        <v>828</v>
      </c>
      <c r="D167" s="82">
        <v>0</v>
      </c>
      <c r="E167" s="82">
        <v>0</v>
      </c>
      <c r="F167" s="83">
        <v>291.67</v>
      </c>
      <c r="G167" s="83">
        <v>0</v>
      </c>
      <c r="H167" s="83">
        <v>0</v>
      </c>
      <c r="I167" s="83">
        <v>0</v>
      </c>
      <c r="J167" s="83">
        <v>0</v>
      </c>
      <c r="K167" s="83">
        <v>0</v>
      </c>
      <c r="L167" s="83">
        <v>0</v>
      </c>
      <c r="M167" s="83">
        <v>0</v>
      </c>
      <c r="N167" s="83">
        <v>0</v>
      </c>
      <c r="O167" s="83">
        <v>0</v>
      </c>
      <c r="P167" s="83">
        <v>0</v>
      </c>
      <c r="Q167" s="83">
        <v>0</v>
      </c>
      <c r="R167" s="116">
        <f t="shared" si="68"/>
        <v>291.67</v>
      </c>
      <c r="S167" s="83">
        <f t="shared" si="69"/>
        <v>0</v>
      </c>
      <c r="T167" s="83">
        <f t="shared" si="69"/>
        <v>0</v>
      </c>
      <c r="U167" s="83">
        <f t="shared" si="75"/>
        <v>0</v>
      </c>
      <c r="V167" s="83">
        <f t="shared" si="75"/>
        <v>0</v>
      </c>
      <c r="W167" s="83">
        <f t="shared" si="75"/>
        <v>0</v>
      </c>
      <c r="X167" s="83">
        <f t="shared" si="75"/>
        <v>0</v>
      </c>
      <c r="Y167" s="83">
        <f t="shared" si="75"/>
        <v>0</v>
      </c>
      <c r="Z167" s="83">
        <f t="shared" si="75"/>
        <v>0</v>
      </c>
      <c r="AA167" s="83">
        <f t="shared" si="75"/>
        <v>0</v>
      </c>
      <c r="AB167" s="83">
        <f t="shared" si="75"/>
        <v>0</v>
      </c>
      <c r="AC167" s="83">
        <f t="shared" si="75"/>
        <v>0</v>
      </c>
      <c r="AD167" s="83">
        <f t="shared" si="75"/>
        <v>0</v>
      </c>
      <c r="AE167" s="83">
        <f t="shared" si="71"/>
        <v>0</v>
      </c>
      <c r="AF167" s="83"/>
      <c r="AH167" s="83"/>
      <c r="AI167" s="83"/>
      <c r="BB167" s="101">
        <f t="shared" si="74"/>
        <v>0</v>
      </c>
      <c r="BD167" s="112">
        <f t="shared" si="63"/>
        <v>0</v>
      </c>
      <c r="BE167" s="136">
        <f t="shared" si="64"/>
        <v>0</v>
      </c>
      <c r="BF167" s="137">
        <f t="shared" si="65"/>
        <v>0</v>
      </c>
      <c r="BG167" s="113">
        <f t="shared" si="66"/>
        <v>0</v>
      </c>
    </row>
    <row r="168" spans="1:59" s="62" customFormat="1" outlineLevel="1" x14ac:dyDescent="0.25">
      <c r="A168" s="62" t="str">
        <f t="shared" si="67"/>
        <v>MURREYSCOMMERCIALFCP4YDOC</v>
      </c>
      <c r="B168" s="81" t="s">
        <v>829</v>
      </c>
      <c r="C168" s="81" t="s">
        <v>830</v>
      </c>
      <c r="D168" s="82">
        <v>0</v>
      </c>
      <c r="E168" s="82">
        <v>0</v>
      </c>
      <c r="F168" s="83">
        <v>0</v>
      </c>
      <c r="G168" s="83">
        <v>0</v>
      </c>
      <c r="H168" s="83">
        <v>0</v>
      </c>
      <c r="I168" s="83">
        <v>0</v>
      </c>
      <c r="J168" s="83">
        <v>0</v>
      </c>
      <c r="K168" s="83">
        <v>0</v>
      </c>
      <c r="L168" s="83">
        <v>0</v>
      </c>
      <c r="M168" s="83">
        <v>0</v>
      </c>
      <c r="N168" s="83">
        <v>0</v>
      </c>
      <c r="O168" s="83">
        <v>0</v>
      </c>
      <c r="P168" s="83">
        <v>0</v>
      </c>
      <c r="Q168" s="83">
        <v>0</v>
      </c>
      <c r="R168" s="116">
        <f t="shared" si="68"/>
        <v>0</v>
      </c>
      <c r="S168" s="83">
        <f t="shared" si="69"/>
        <v>0</v>
      </c>
      <c r="T168" s="83">
        <f t="shared" si="69"/>
        <v>0</v>
      </c>
      <c r="U168" s="83">
        <f t="shared" si="75"/>
        <v>0</v>
      </c>
      <c r="V168" s="83">
        <f t="shared" si="75"/>
        <v>0</v>
      </c>
      <c r="W168" s="83">
        <f t="shared" si="75"/>
        <v>0</v>
      </c>
      <c r="X168" s="83">
        <f t="shared" si="75"/>
        <v>0</v>
      </c>
      <c r="Y168" s="83">
        <f t="shared" si="75"/>
        <v>0</v>
      </c>
      <c r="Z168" s="83">
        <f t="shared" si="75"/>
        <v>0</v>
      </c>
      <c r="AA168" s="83">
        <f t="shared" si="75"/>
        <v>0</v>
      </c>
      <c r="AB168" s="83">
        <f t="shared" si="75"/>
        <v>0</v>
      </c>
      <c r="AC168" s="83">
        <f t="shared" si="75"/>
        <v>0</v>
      </c>
      <c r="AD168" s="83">
        <f t="shared" si="75"/>
        <v>0</v>
      </c>
      <c r="AE168" s="83">
        <f t="shared" si="71"/>
        <v>0</v>
      </c>
      <c r="AF168" s="83"/>
      <c r="AH168" s="83"/>
      <c r="AI168" s="83"/>
      <c r="BB168" s="101">
        <f t="shared" si="74"/>
        <v>0</v>
      </c>
      <c r="BD168" s="112">
        <f t="shared" si="63"/>
        <v>0</v>
      </c>
      <c r="BE168" s="136">
        <f t="shared" si="64"/>
        <v>0</v>
      </c>
      <c r="BF168" s="137">
        <f t="shared" si="65"/>
        <v>0</v>
      </c>
      <c r="BG168" s="113">
        <f t="shared" si="66"/>
        <v>0</v>
      </c>
    </row>
    <row r="169" spans="1:59" s="62" customFormat="1" outlineLevel="1" x14ac:dyDescent="0.25">
      <c r="A169" s="62" t="str">
        <f t="shared" si="67"/>
        <v>MURREYSCOMMERCIALFCP6YD1W</v>
      </c>
      <c r="B169" s="81" t="s">
        <v>831</v>
      </c>
      <c r="C169" s="81" t="s">
        <v>832</v>
      </c>
      <c r="D169" s="82">
        <v>0</v>
      </c>
      <c r="E169" s="82">
        <v>0</v>
      </c>
      <c r="F169" s="83">
        <v>0</v>
      </c>
      <c r="G169" s="83">
        <v>0</v>
      </c>
      <c r="H169" s="83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0</v>
      </c>
      <c r="N169" s="83">
        <v>0</v>
      </c>
      <c r="O169" s="83">
        <v>0</v>
      </c>
      <c r="P169" s="83">
        <v>0</v>
      </c>
      <c r="Q169" s="83">
        <v>0</v>
      </c>
      <c r="R169" s="116">
        <f t="shared" si="68"/>
        <v>0</v>
      </c>
      <c r="S169" s="83">
        <f t="shared" si="69"/>
        <v>0</v>
      </c>
      <c r="T169" s="83">
        <f t="shared" si="69"/>
        <v>0</v>
      </c>
      <c r="U169" s="83">
        <f t="shared" si="75"/>
        <v>0</v>
      </c>
      <c r="V169" s="83">
        <f t="shared" si="75"/>
        <v>0</v>
      </c>
      <c r="W169" s="83">
        <f t="shared" si="75"/>
        <v>0</v>
      </c>
      <c r="X169" s="83">
        <f t="shared" si="75"/>
        <v>0</v>
      </c>
      <c r="Y169" s="83">
        <f t="shared" si="75"/>
        <v>0</v>
      </c>
      <c r="Z169" s="83">
        <f t="shared" si="75"/>
        <v>0</v>
      </c>
      <c r="AA169" s="83">
        <f t="shared" si="75"/>
        <v>0</v>
      </c>
      <c r="AB169" s="83">
        <f t="shared" si="75"/>
        <v>0</v>
      </c>
      <c r="AC169" s="83">
        <f t="shared" si="75"/>
        <v>0</v>
      </c>
      <c r="AD169" s="83">
        <f t="shared" si="75"/>
        <v>0</v>
      </c>
      <c r="AE169" s="83">
        <f t="shared" si="71"/>
        <v>0</v>
      </c>
      <c r="AF169" s="83"/>
      <c r="AH169" s="83"/>
      <c r="AI169" s="83"/>
      <c r="BB169" s="101">
        <f t="shared" si="74"/>
        <v>0</v>
      </c>
      <c r="BD169" s="112">
        <f t="shared" si="63"/>
        <v>0</v>
      </c>
      <c r="BE169" s="136">
        <f t="shared" si="64"/>
        <v>0</v>
      </c>
      <c r="BF169" s="137">
        <f t="shared" si="65"/>
        <v>0</v>
      </c>
      <c r="BG169" s="113">
        <f t="shared" si="66"/>
        <v>0</v>
      </c>
    </row>
    <row r="170" spans="1:59" s="62" customFormat="1" outlineLevel="1" x14ac:dyDescent="0.25">
      <c r="A170" s="62" t="str">
        <f t="shared" si="67"/>
        <v>MURREYSCOMMERCIALFCP6YD1W4-1</v>
      </c>
      <c r="B170" s="81" t="s">
        <v>833</v>
      </c>
      <c r="C170" s="81" t="s">
        <v>832</v>
      </c>
      <c r="D170" s="82">
        <v>1554.12</v>
      </c>
      <c r="E170" s="82">
        <v>1573.22</v>
      </c>
      <c r="F170" s="83">
        <v>0</v>
      </c>
      <c r="G170" s="83">
        <v>0</v>
      </c>
      <c r="H170" s="83">
        <v>393.31</v>
      </c>
      <c r="I170" s="83">
        <v>1573.22</v>
      </c>
      <c r="J170" s="83">
        <v>1573.22</v>
      </c>
      <c r="K170" s="83">
        <v>1179.92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  <c r="Q170" s="83">
        <v>1577.59</v>
      </c>
      <c r="R170" s="116">
        <f t="shared" si="68"/>
        <v>6297.26</v>
      </c>
      <c r="S170" s="83">
        <f t="shared" si="69"/>
        <v>0</v>
      </c>
      <c r="T170" s="83">
        <f t="shared" si="69"/>
        <v>0</v>
      </c>
      <c r="U170" s="83">
        <f t="shared" si="75"/>
        <v>0.25000317819503948</v>
      </c>
      <c r="V170" s="83">
        <f t="shared" si="75"/>
        <v>1</v>
      </c>
      <c r="W170" s="83">
        <f t="shared" si="75"/>
        <v>1</v>
      </c>
      <c r="X170" s="83">
        <f t="shared" si="75"/>
        <v>0.75000317819503948</v>
      </c>
      <c r="Y170" s="83">
        <f t="shared" si="75"/>
        <v>0</v>
      </c>
      <c r="Z170" s="83">
        <f t="shared" si="75"/>
        <v>0</v>
      </c>
      <c r="AA170" s="83">
        <f t="shared" si="75"/>
        <v>0</v>
      </c>
      <c r="AB170" s="83">
        <f t="shared" si="75"/>
        <v>0</v>
      </c>
      <c r="AC170" s="83">
        <f t="shared" si="75"/>
        <v>0</v>
      </c>
      <c r="AD170" s="83">
        <f t="shared" si="75"/>
        <v>1.0027777424644995</v>
      </c>
      <c r="AE170" s="83">
        <f t="shared" si="71"/>
        <v>0.33356534157121492</v>
      </c>
      <c r="AF170" s="83"/>
      <c r="AH170" s="83"/>
      <c r="AI170" s="83"/>
      <c r="BB170" s="101">
        <f t="shared" si="74"/>
        <v>6297.2600000000011</v>
      </c>
      <c r="BD170" s="112">
        <f t="shared" si="63"/>
        <v>1580.58</v>
      </c>
      <c r="BE170" s="136">
        <f t="shared" si="64"/>
        <v>6326.7204909675711</v>
      </c>
      <c r="BF170" s="137">
        <f t="shared" si="65"/>
        <v>29.460490967569967</v>
      </c>
      <c r="BG170" s="113">
        <f t="shared" si="66"/>
        <v>4.6783030981045661E-3</v>
      </c>
    </row>
    <row r="171" spans="1:59" s="62" customFormat="1" outlineLevel="1" x14ac:dyDescent="0.25">
      <c r="A171" s="62" t="str">
        <f t="shared" si="67"/>
        <v>MURREYSCOMMERCIALFCP4YD1W2.25-1</v>
      </c>
      <c r="B171" s="81" t="s">
        <v>834</v>
      </c>
      <c r="C171" s="81" t="s">
        <v>835</v>
      </c>
      <c r="D171" s="82">
        <v>681.59</v>
      </c>
      <c r="E171" s="82">
        <v>689.42</v>
      </c>
      <c r="F171" s="83">
        <v>681.59</v>
      </c>
      <c r="G171" s="83">
        <v>681.59</v>
      </c>
      <c r="H171" s="83">
        <v>689.42</v>
      </c>
      <c r="I171" s="83">
        <v>689.42</v>
      </c>
      <c r="J171" s="83">
        <v>689.42</v>
      </c>
      <c r="K171" s="83">
        <v>689.42</v>
      </c>
      <c r="L171" s="83">
        <v>689.42</v>
      </c>
      <c r="M171" s="83">
        <v>691.33</v>
      </c>
      <c r="N171" s="83">
        <v>691.33</v>
      </c>
      <c r="O171" s="83">
        <v>691.33</v>
      </c>
      <c r="P171" s="83">
        <v>1382.66</v>
      </c>
      <c r="Q171" s="83">
        <v>691.33</v>
      </c>
      <c r="R171" s="116">
        <f t="shared" si="68"/>
        <v>8958.26</v>
      </c>
      <c r="S171" s="83">
        <f t="shared" si="69"/>
        <v>1</v>
      </c>
      <c r="T171" s="83">
        <f t="shared" si="69"/>
        <v>1</v>
      </c>
      <c r="U171" s="83">
        <f t="shared" si="75"/>
        <v>1</v>
      </c>
      <c r="V171" s="83">
        <f t="shared" si="75"/>
        <v>1</v>
      </c>
      <c r="W171" s="83">
        <f t="shared" si="75"/>
        <v>1</v>
      </c>
      <c r="X171" s="83">
        <f t="shared" si="75"/>
        <v>1</v>
      </c>
      <c r="Y171" s="83">
        <f t="shared" si="75"/>
        <v>1</v>
      </c>
      <c r="Z171" s="83">
        <f t="shared" si="75"/>
        <v>1.0027704447216501</v>
      </c>
      <c r="AA171" s="83">
        <f t="shared" si="75"/>
        <v>1.0027704447216501</v>
      </c>
      <c r="AB171" s="83">
        <f t="shared" si="75"/>
        <v>1.0027704447216501</v>
      </c>
      <c r="AC171" s="83">
        <f t="shared" si="75"/>
        <v>2.0055408894433002</v>
      </c>
      <c r="AD171" s="83">
        <f t="shared" si="75"/>
        <v>1.0027704447216501</v>
      </c>
      <c r="AE171" s="83">
        <f t="shared" si="71"/>
        <v>1.0847185556941583</v>
      </c>
      <c r="AF171" s="83"/>
      <c r="AH171" s="83"/>
      <c r="AI171" s="83"/>
      <c r="BB171" s="101">
        <f t="shared" si="74"/>
        <v>8973.9199999999983</v>
      </c>
      <c r="BD171" s="112">
        <f t="shared" si="63"/>
        <v>692.65</v>
      </c>
      <c r="BE171" s="136">
        <f t="shared" si="64"/>
        <v>9015.9636912187052</v>
      </c>
      <c r="BF171" s="137">
        <f t="shared" si="65"/>
        <v>42.043691218706954</v>
      </c>
      <c r="BG171" s="113">
        <f t="shared" si="66"/>
        <v>4.6850976182879903E-3</v>
      </c>
    </row>
    <row r="172" spans="1:59" s="62" customFormat="1" outlineLevel="1" x14ac:dyDescent="0.25">
      <c r="A172" s="62" t="str">
        <f t="shared" si="67"/>
        <v>MURREYSCOMMERCIALFCP4YD1W4-1</v>
      </c>
      <c r="B172" s="81" t="s">
        <v>836</v>
      </c>
      <c r="C172" s="81" t="s">
        <v>837</v>
      </c>
      <c r="D172" s="82">
        <v>1092.1099999999999</v>
      </c>
      <c r="E172" s="82">
        <v>1106.0999999999999</v>
      </c>
      <c r="F172" s="83">
        <v>1092.1099999999999</v>
      </c>
      <c r="G172" s="83">
        <v>1092.1099999999999</v>
      </c>
      <c r="H172" s="83">
        <v>1106.0999999999999</v>
      </c>
      <c r="I172" s="83">
        <v>1106.0999999999999</v>
      </c>
      <c r="J172" s="83">
        <v>1106.0999999999999</v>
      </c>
      <c r="K172" s="83">
        <v>1106.0999999999999</v>
      </c>
      <c r="L172" s="83">
        <v>1106.0999999999999</v>
      </c>
      <c r="M172" s="83">
        <v>1109.17</v>
      </c>
      <c r="N172" s="83">
        <v>1109.17</v>
      </c>
      <c r="O172" s="83">
        <v>1109.17</v>
      </c>
      <c r="P172" s="83">
        <v>1109.17</v>
      </c>
      <c r="Q172" s="83">
        <v>1109.17</v>
      </c>
      <c r="R172" s="116">
        <f t="shared" si="68"/>
        <v>13260.570000000002</v>
      </c>
      <c r="S172" s="83">
        <f t="shared" si="69"/>
        <v>1</v>
      </c>
      <c r="T172" s="83">
        <f t="shared" si="69"/>
        <v>1</v>
      </c>
      <c r="U172" s="83">
        <f t="shared" si="75"/>
        <v>1</v>
      </c>
      <c r="V172" s="83">
        <f t="shared" si="75"/>
        <v>1</v>
      </c>
      <c r="W172" s="83">
        <f t="shared" si="75"/>
        <v>1</v>
      </c>
      <c r="X172" s="83">
        <f t="shared" si="75"/>
        <v>1</v>
      </c>
      <c r="Y172" s="83">
        <f t="shared" si="75"/>
        <v>1</v>
      </c>
      <c r="Z172" s="83">
        <f t="shared" si="75"/>
        <v>1.0027755175843054</v>
      </c>
      <c r="AA172" s="83">
        <f t="shared" si="75"/>
        <v>1.0027755175843054</v>
      </c>
      <c r="AB172" s="83">
        <f t="shared" si="75"/>
        <v>1.0027755175843054</v>
      </c>
      <c r="AC172" s="83">
        <f t="shared" si="75"/>
        <v>1.0027755175843054</v>
      </c>
      <c r="AD172" s="83">
        <f t="shared" si="75"/>
        <v>1.0027755175843054</v>
      </c>
      <c r="AE172" s="83">
        <f t="shared" si="71"/>
        <v>1.0011564656601275</v>
      </c>
      <c r="AF172" s="83"/>
      <c r="AH172" s="83"/>
      <c r="AI172" s="83"/>
      <c r="BB172" s="101">
        <f t="shared" si="74"/>
        <v>13288.550000000003</v>
      </c>
      <c r="BD172" s="112">
        <f t="shared" si="63"/>
        <v>1111.28</v>
      </c>
      <c r="BE172" s="136">
        <f t="shared" si="64"/>
        <v>13350.781885905437</v>
      </c>
      <c r="BF172" s="137">
        <f t="shared" si="65"/>
        <v>62.231885905433955</v>
      </c>
      <c r="BG172" s="113">
        <f t="shared" si="66"/>
        <v>4.6831208751469452E-3</v>
      </c>
    </row>
    <row r="173" spans="1:59" s="62" customFormat="1" outlineLevel="1" x14ac:dyDescent="0.25">
      <c r="A173" s="62" t="str">
        <f t="shared" si="67"/>
        <v>MURREYSCOMMERCIALFCP4YD1W5-1</v>
      </c>
      <c r="B173" s="81" t="s">
        <v>838</v>
      </c>
      <c r="C173" s="81" t="s">
        <v>839</v>
      </c>
      <c r="D173" s="82">
        <v>1234.6600000000001</v>
      </c>
      <c r="E173" s="82">
        <v>1252.1099999999999</v>
      </c>
      <c r="F173" s="83">
        <v>1234.6600000000001</v>
      </c>
      <c r="G173" s="83">
        <v>1234.6600000000001</v>
      </c>
      <c r="H173" s="83">
        <v>1252.1099999999999</v>
      </c>
      <c r="I173" s="83">
        <v>1252.1099999999999</v>
      </c>
      <c r="J173" s="83">
        <v>1252.1099999999999</v>
      </c>
      <c r="K173" s="83">
        <v>1252.1099999999999</v>
      </c>
      <c r="L173" s="83">
        <v>1252.1099999999999</v>
      </c>
      <c r="M173" s="83">
        <v>1255.6099999999999</v>
      </c>
      <c r="N173" s="83">
        <v>1255.6099999999999</v>
      </c>
      <c r="O173" s="83">
        <v>1255.6099999999999</v>
      </c>
      <c r="P173" s="83">
        <v>1255.6099999999999</v>
      </c>
      <c r="Q173" s="83">
        <v>1255.6099999999999</v>
      </c>
      <c r="R173" s="116">
        <f t="shared" si="68"/>
        <v>15007.920000000002</v>
      </c>
      <c r="S173" s="83">
        <f t="shared" si="69"/>
        <v>1</v>
      </c>
      <c r="T173" s="83">
        <f t="shared" si="69"/>
        <v>1</v>
      </c>
      <c r="U173" s="83">
        <f t="shared" si="75"/>
        <v>1</v>
      </c>
      <c r="V173" s="83">
        <f t="shared" si="75"/>
        <v>1</v>
      </c>
      <c r="W173" s="83">
        <f t="shared" si="75"/>
        <v>1</v>
      </c>
      <c r="X173" s="83">
        <f t="shared" si="75"/>
        <v>1</v>
      </c>
      <c r="Y173" s="83">
        <f t="shared" si="75"/>
        <v>1</v>
      </c>
      <c r="Z173" s="83">
        <f t="shared" si="75"/>
        <v>1.0027952815647188</v>
      </c>
      <c r="AA173" s="83">
        <f t="shared" si="75"/>
        <v>1.0027952815647188</v>
      </c>
      <c r="AB173" s="83">
        <f t="shared" si="75"/>
        <v>1.0027952815647188</v>
      </c>
      <c r="AC173" s="83">
        <f t="shared" si="75"/>
        <v>1.0027952815647188</v>
      </c>
      <c r="AD173" s="83">
        <f t="shared" si="75"/>
        <v>1.0027952815647188</v>
      </c>
      <c r="AE173" s="83">
        <f t="shared" si="71"/>
        <v>1.0011647006519662</v>
      </c>
      <c r="AF173" s="83"/>
      <c r="AH173" s="83"/>
      <c r="AI173" s="83"/>
      <c r="BB173" s="101">
        <f t="shared" si="74"/>
        <v>15042.819999999998</v>
      </c>
      <c r="BD173" s="112">
        <f t="shared" si="63"/>
        <v>1257.97</v>
      </c>
      <c r="BE173" s="136">
        <f t="shared" si="64"/>
        <v>15113.221901749846</v>
      </c>
      <c r="BF173" s="137">
        <f t="shared" si="65"/>
        <v>70.401901749848548</v>
      </c>
      <c r="BG173" s="113">
        <f t="shared" si="66"/>
        <v>4.6800999912149826E-3</v>
      </c>
    </row>
    <row r="174" spans="1:59" s="62" customFormat="1" outlineLevel="1" x14ac:dyDescent="0.25">
      <c r="A174" s="62" t="str">
        <f t="shared" si="67"/>
        <v>MURREYSCOMMERCIALFCP4YDEOW5-1</v>
      </c>
      <c r="B174" s="81" t="s">
        <v>840</v>
      </c>
      <c r="C174" s="81" t="s">
        <v>841</v>
      </c>
      <c r="D174" s="82">
        <v>618.75</v>
      </c>
      <c r="E174" s="82">
        <v>627.5</v>
      </c>
      <c r="F174" s="83">
        <v>910.42000000000007</v>
      </c>
      <c r="G174" s="83">
        <v>618.75</v>
      </c>
      <c r="H174" s="83">
        <v>627.5</v>
      </c>
      <c r="I174" s="83">
        <v>627.5</v>
      </c>
      <c r="J174" s="83">
        <v>627.5</v>
      </c>
      <c r="K174" s="83">
        <v>627.5</v>
      </c>
      <c r="L174" s="83">
        <v>627.5</v>
      </c>
      <c r="M174" s="83">
        <v>629.26</v>
      </c>
      <c r="N174" s="83">
        <v>629.26</v>
      </c>
      <c r="O174" s="83">
        <v>629.26</v>
      </c>
      <c r="P174" s="83">
        <v>629.26</v>
      </c>
      <c r="Q174" s="83">
        <v>629.26</v>
      </c>
      <c r="R174" s="116">
        <f t="shared" si="68"/>
        <v>7812.9700000000012</v>
      </c>
      <c r="S174" s="83">
        <f t="shared" si="69"/>
        <v>1.4713858585858588</v>
      </c>
      <c r="T174" s="83">
        <f t="shared" si="69"/>
        <v>1</v>
      </c>
      <c r="U174" s="83">
        <f t="shared" si="75"/>
        <v>1</v>
      </c>
      <c r="V174" s="83">
        <f t="shared" si="75"/>
        <v>1</v>
      </c>
      <c r="W174" s="83">
        <f t="shared" si="75"/>
        <v>1</v>
      </c>
      <c r="X174" s="83">
        <f t="shared" si="75"/>
        <v>1</v>
      </c>
      <c r="Y174" s="83">
        <f t="shared" si="75"/>
        <v>1</v>
      </c>
      <c r="Z174" s="83">
        <f t="shared" si="75"/>
        <v>1.0028047808764939</v>
      </c>
      <c r="AA174" s="83">
        <f t="shared" si="75"/>
        <v>1.0028047808764939</v>
      </c>
      <c r="AB174" s="83">
        <f t="shared" si="75"/>
        <v>1.0028047808764939</v>
      </c>
      <c r="AC174" s="83">
        <f t="shared" si="75"/>
        <v>1.0028047808764939</v>
      </c>
      <c r="AD174" s="83">
        <f t="shared" si="75"/>
        <v>1.0028047808764939</v>
      </c>
      <c r="AE174" s="83">
        <f t="shared" si="71"/>
        <v>1.040450813580694</v>
      </c>
      <c r="AF174" s="83"/>
      <c r="AH174" s="83"/>
      <c r="AI174" s="83"/>
      <c r="BB174" s="101">
        <f t="shared" si="74"/>
        <v>7834.5946262626267</v>
      </c>
      <c r="BD174" s="112">
        <f t="shared" si="63"/>
        <v>630.44000000000005</v>
      </c>
      <c r="BE174" s="136">
        <f t="shared" si="64"/>
        <v>7871.3017309657534</v>
      </c>
      <c r="BF174" s="137">
        <f t="shared" si="65"/>
        <v>36.707104703126788</v>
      </c>
      <c r="BG174" s="113">
        <f t="shared" si="66"/>
        <v>4.6852589641434138E-3</v>
      </c>
    </row>
    <row r="175" spans="1:59" s="62" customFormat="1" outlineLevel="1" x14ac:dyDescent="0.25">
      <c r="A175" s="62" t="str">
        <f t="shared" si="67"/>
        <v>MURREYSCOMMERCIALFCP4YDOC5-1</v>
      </c>
      <c r="B175" s="81" t="s">
        <v>842</v>
      </c>
      <c r="C175" s="81" t="s">
        <v>843</v>
      </c>
      <c r="D175" s="82">
        <v>291.67</v>
      </c>
      <c r="E175" s="82">
        <v>295.7</v>
      </c>
      <c r="F175" s="83">
        <v>291.67</v>
      </c>
      <c r="G175" s="83">
        <v>291.67</v>
      </c>
      <c r="H175" s="83">
        <v>591.4</v>
      </c>
      <c r="I175" s="83">
        <v>0</v>
      </c>
      <c r="J175" s="83">
        <v>0</v>
      </c>
      <c r="K175" s="83">
        <v>0</v>
      </c>
      <c r="L175" s="83">
        <v>295.7</v>
      </c>
      <c r="M175" s="83">
        <v>593.04</v>
      </c>
      <c r="N175" s="83">
        <v>296.52</v>
      </c>
      <c r="O175" s="83">
        <v>296.52</v>
      </c>
      <c r="P175" s="83">
        <v>593.04</v>
      </c>
      <c r="Q175" s="83">
        <v>296.52</v>
      </c>
      <c r="R175" s="116">
        <f t="shared" si="68"/>
        <v>3546.08</v>
      </c>
      <c r="S175" s="83">
        <f t="shared" si="69"/>
        <v>1</v>
      </c>
      <c r="T175" s="83">
        <f t="shared" si="69"/>
        <v>1</v>
      </c>
      <c r="U175" s="83">
        <f t="shared" si="75"/>
        <v>2</v>
      </c>
      <c r="V175" s="83">
        <f t="shared" si="75"/>
        <v>0</v>
      </c>
      <c r="W175" s="83">
        <f t="shared" si="75"/>
        <v>0</v>
      </c>
      <c r="X175" s="83">
        <f t="shared" si="75"/>
        <v>0</v>
      </c>
      <c r="Y175" s="83">
        <f t="shared" si="75"/>
        <v>1</v>
      </c>
      <c r="Z175" s="83">
        <f t="shared" si="75"/>
        <v>2.0055461616503214</v>
      </c>
      <c r="AA175" s="83">
        <f t="shared" si="75"/>
        <v>1.0027730808251607</v>
      </c>
      <c r="AB175" s="83">
        <f t="shared" si="75"/>
        <v>1.0027730808251607</v>
      </c>
      <c r="AC175" s="83">
        <f t="shared" si="75"/>
        <v>2.0055461616503214</v>
      </c>
      <c r="AD175" s="83">
        <f t="shared" si="75"/>
        <v>1.0027730808251607</v>
      </c>
      <c r="AE175" s="83">
        <f t="shared" si="71"/>
        <v>1.0016176304813438</v>
      </c>
      <c r="AF175" s="83"/>
      <c r="AH175" s="83"/>
      <c r="AI175" s="83"/>
      <c r="BB175" s="101">
        <f t="shared" si="74"/>
        <v>3554.1400000000003</v>
      </c>
      <c r="BD175" s="112">
        <f t="shared" si="63"/>
        <v>297.08</v>
      </c>
      <c r="BE175" s="136">
        <f t="shared" si="64"/>
        <v>3570.7267879607712</v>
      </c>
      <c r="BF175" s="137">
        <f t="shared" si="65"/>
        <v>16.586787960770835</v>
      </c>
      <c r="BG175" s="113">
        <f t="shared" si="66"/>
        <v>4.666892120392228E-3</v>
      </c>
    </row>
    <row r="176" spans="1:59" s="62" customFormat="1" outlineLevel="1" x14ac:dyDescent="0.25">
      <c r="A176" s="62" t="str">
        <f t="shared" si="67"/>
        <v>MURREYSCOMMERCIALFCP6YD2W</v>
      </c>
      <c r="B176" s="81" t="s">
        <v>844</v>
      </c>
      <c r="C176" s="81" t="s">
        <v>845</v>
      </c>
      <c r="D176" s="82">
        <v>0</v>
      </c>
      <c r="E176" s="82">
        <v>0</v>
      </c>
      <c r="F176" s="83">
        <v>0</v>
      </c>
      <c r="G176" s="83">
        <v>0</v>
      </c>
      <c r="H176" s="83">
        <v>0</v>
      </c>
      <c r="I176" s="83">
        <v>0</v>
      </c>
      <c r="J176" s="83">
        <v>0</v>
      </c>
      <c r="K176" s="83">
        <v>0</v>
      </c>
      <c r="L176" s="83">
        <v>0</v>
      </c>
      <c r="M176" s="83">
        <v>0</v>
      </c>
      <c r="N176" s="83">
        <v>0</v>
      </c>
      <c r="O176" s="83">
        <v>0</v>
      </c>
      <c r="P176" s="83">
        <v>0</v>
      </c>
      <c r="Q176" s="83">
        <v>0</v>
      </c>
      <c r="R176" s="116">
        <f t="shared" si="68"/>
        <v>0</v>
      </c>
      <c r="S176" s="83">
        <f t="shared" si="69"/>
        <v>0</v>
      </c>
      <c r="T176" s="83">
        <f t="shared" si="69"/>
        <v>0</v>
      </c>
      <c r="U176" s="83">
        <f t="shared" si="75"/>
        <v>0</v>
      </c>
      <c r="V176" s="83">
        <f t="shared" si="75"/>
        <v>0</v>
      </c>
      <c r="W176" s="83">
        <f t="shared" si="75"/>
        <v>0</v>
      </c>
      <c r="X176" s="83">
        <f t="shared" si="75"/>
        <v>0</v>
      </c>
      <c r="Y176" s="83">
        <f t="shared" si="75"/>
        <v>0</v>
      </c>
      <c r="Z176" s="83">
        <f t="shared" si="75"/>
        <v>0</v>
      </c>
      <c r="AA176" s="83">
        <f t="shared" si="75"/>
        <v>0</v>
      </c>
      <c r="AB176" s="83">
        <f t="shared" si="75"/>
        <v>0</v>
      </c>
      <c r="AC176" s="83">
        <f t="shared" si="75"/>
        <v>0</v>
      </c>
      <c r="AD176" s="83">
        <f t="shared" si="75"/>
        <v>0</v>
      </c>
      <c r="AE176" s="83">
        <f t="shared" si="71"/>
        <v>0</v>
      </c>
      <c r="AF176" s="83"/>
      <c r="AH176" s="83"/>
      <c r="AI176" s="83"/>
      <c r="BB176" s="101">
        <f t="shared" si="74"/>
        <v>0</v>
      </c>
      <c r="BD176" s="112">
        <f t="shared" si="63"/>
        <v>0</v>
      </c>
      <c r="BE176" s="136">
        <f t="shared" si="64"/>
        <v>0</v>
      </c>
      <c r="BF176" s="137">
        <f t="shared" si="65"/>
        <v>0</v>
      </c>
      <c r="BG176" s="113">
        <f t="shared" si="66"/>
        <v>0</v>
      </c>
    </row>
    <row r="177" spans="1:59" s="62" customFormat="1" outlineLevel="1" x14ac:dyDescent="0.25">
      <c r="A177" s="62" t="str">
        <f t="shared" si="67"/>
        <v>MURREYSCOMMERCIALFCP6YD2W3-1</v>
      </c>
      <c r="B177" s="81" t="s">
        <v>846</v>
      </c>
      <c r="C177" s="81" t="s">
        <v>847</v>
      </c>
      <c r="D177" s="82">
        <v>2410.6799999999998</v>
      </c>
      <c r="E177" s="82">
        <v>2439.35</v>
      </c>
      <c r="F177" s="83">
        <v>2410.6799999999998</v>
      </c>
      <c r="G177" s="83">
        <v>2410.6799999999998</v>
      </c>
      <c r="H177" s="83">
        <v>2439.35</v>
      </c>
      <c r="I177" s="83">
        <v>2439.35</v>
      </c>
      <c r="J177" s="83">
        <v>2439.35</v>
      </c>
      <c r="K177" s="83">
        <v>2439.35</v>
      </c>
      <c r="L177" s="83">
        <v>2439.35</v>
      </c>
      <c r="M177" s="83">
        <v>2446.1</v>
      </c>
      <c r="N177" s="83">
        <v>2446.1</v>
      </c>
      <c r="O177" s="83">
        <v>2446.1</v>
      </c>
      <c r="P177" s="83">
        <v>2446.1</v>
      </c>
      <c r="Q177" s="83">
        <v>2446.1</v>
      </c>
      <c r="R177" s="116">
        <f t="shared" si="68"/>
        <v>29248.609999999993</v>
      </c>
      <c r="S177" s="83">
        <f t="shared" si="69"/>
        <v>1</v>
      </c>
      <c r="T177" s="83">
        <f t="shared" si="69"/>
        <v>1</v>
      </c>
      <c r="U177" s="83">
        <f t="shared" si="75"/>
        <v>1</v>
      </c>
      <c r="V177" s="83">
        <f t="shared" si="75"/>
        <v>1</v>
      </c>
      <c r="W177" s="83">
        <f t="shared" si="75"/>
        <v>1</v>
      </c>
      <c r="X177" s="83">
        <f t="shared" si="75"/>
        <v>1</v>
      </c>
      <c r="Y177" s="83">
        <f t="shared" si="75"/>
        <v>1</v>
      </c>
      <c r="Z177" s="83">
        <f t="shared" si="75"/>
        <v>1.0027671305880665</v>
      </c>
      <c r="AA177" s="83">
        <f t="shared" si="75"/>
        <v>1.0027671305880665</v>
      </c>
      <c r="AB177" s="83">
        <f t="shared" si="75"/>
        <v>1.0027671305880665</v>
      </c>
      <c r="AC177" s="83">
        <f t="shared" si="75"/>
        <v>1.0027671305880665</v>
      </c>
      <c r="AD177" s="83">
        <f t="shared" si="75"/>
        <v>1.0027671305880665</v>
      </c>
      <c r="AE177" s="83">
        <f t="shared" si="71"/>
        <v>1.0011529710783613</v>
      </c>
      <c r="AF177" s="83"/>
      <c r="AH177" s="83"/>
      <c r="AI177" s="83"/>
      <c r="BB177" s="101">
        <f t="shared" si="74"/>
        <v>29305.950000000012</v>
      </c>
      <c r="BD177" s="112">
        <f t="shared" si="63"/>
        <v>2450.77</v>
      </c>
      <c r="BE177" s="136">
        <f t="shared" si="64"/>
        <v>29443.148003156588</v>
      </c>
      <c r="BF177" s="137">
        <f t="shared" si="65"/>
        <v>137.19800315657631</v>
      </c>
      <c r="BG177" s="113">
        <f t="shared" si="66"/>
        <v>4.6815750097361202E-3</v>
      </c>
    </row>
    <row r="178" spans="1:59" s="62" customFormat="1" outlineLevel="1" x14ac:dyDescent="0.25">
      <c r="A178" s="62" t="str">
        <f t="shared" si="67"/>
        <v>MURREYSCOMMERCIALFCP6YD2W4-1</v>
      </c>
      <c r="B178" s="81" t="s">
        <v>848</v>
      </c>
      <c r="C178" s="81" t="s">
        <v>849</v>
      </c>
      <c r="D178" s="82">
        <v>3108.25</v>
      </c>
      <c r="E178" s="82">
        <v>3146.44</v>
      </c>
      <c r="F178" s="83">
        <v>3108.25</v>
      </c>
      <c r="G178" s="83">
        <v>3108.25</v>
      </c>
      <c r="H178" s="83">
        <v>-786.61</v>
      </c>
      <c r="I178" s="83">
        <v>0</v>
      </c>
      <c r="J178" s="83">
        <v>0</v>
      </c>
      <c r="K178" s="83">
        <v>3146.44</v>
      </c>
      <c r="L178" s="83">
        <v>0</v>
      </c>
      <c r="M178" s="83">
        <v>6310.36</v>
      </c>
      <c r="N178" s="83">
        <v>3155.18</v>
      </c>
      <c r="O178" s="83">
        <v>3155.18</v>
      </c>
      <c r="P178" s="83">
        <v>3155.18</v>
      </c>
      <c r="Q178" s="83">
        <v>0</v>
      </c>
      <c r="R178" s="116">
        <f t="shared" si="68"/>
        <v>24352.23</v>
      </c>
      <c r="S178" s="83">
        <f t="shared" si="69"/>
        <v>1</v>
      </c>
      <c r="T178" s="83">
        <f t="shared" si="69"/>
        <v>1</v>
      </c>
      <c r="U178" s="83">
        <f t="shared" si="75"/>
        <v>-0.25</v>
      </c>
      <c r="V178" s="83">
        <f t="shared" si="75"/>
        <v>0</v>
      </c>
      <c r="W178" s="83">
        <f t="shared" si="75"/>
        <v>0</v>
      </c>
      <c r="X178" s="83">
        <f t="shared" si="75"/>
        <v>1</v>
      </c>
      <c r="Y178" s="83">
        <f t="shared" si="75"/>
        <v>0</v>
      </c>
      <c r="Z178" s="83">
        <f t="shared" si="75"/>
        <v>2.0055554849289989</v>
      </c>
      <c r="AA178" s="83">
        <f t="shared" si="75"/>
        <v>1.0027777424644995</v>
      </c>
      <c r="AB178" s="83">
        <f t="shared" si="75"/>
        <v>1.0027777424644995</v>
      </c>
      <c r="AC178" s="83">
        <f t="shared" si="75"/>
        <v>1.0027777424644995</v>
      </c>
      <c r="AD178" s="83">
        <f t="shared" si="75"/>
        <v>0</v>
      </c>
      <c r="AE178" s="83">
        <f t="shared" si="71"/>
        <v>0.64699072602687491</v>
      </c>
      <c r="AF178" s="83"/>
      <c r="AH178" s="83"/>
      <c r="AI178" s="83"/>
      <c r="BB178" s="101">
        <f t="shared" si="74"/>
        <v>24428.610000000004</v>
      </c>
      <c r="BD178" s="112">
        <f t="shared" si="63"/>
        <v>3161.17</v>
      </c>
      <c r="BE178" s="136">
        <f t="shared" si="64"/>
        <v>24542.972080732514</v>
      </c>
      <c r="BF178" s="137">
        <f t="shared" si="65"/>
        <v>114.36208073250964</v>
      </c>
      <c r="BG178" s="113">
        <f t="shared" si="66"/>
        <v>4.6814812931439661E-3</v>
      </c>
    </row>
    <row r="179" spans="1:59" s="62" customFormat="1" outlineLevel="1" x14ac:dyDescent="0.25">
      <c r="A179" s="62" t="str">
        <f t="shared" si="67"/>
        <v>MURREYSCOMMERCIALIMPCNC</v>
      </c>
      <c r="B179" s="81" t="s">
        <v>850</v>
      </c>
      <c r="C179" s="81" t="s">
        <v>851</v>
      </c>
      <c r="D179" s="82">
        <v>0</v>
      </c>
      <c r="E179" s="82">
        <v>0</v>
      </c>
      <c r="F179" s="83">
        <v>0</v>
      </c>
      <c r="G179" s="83">
        <v>0</v>
      </c>
      <c r="H179" s="83">
        <v>0</v>
      </c>
      <c r="I179" s="83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  <c r="Q179" s="83">
        <v>0</v>
      </c>
      <c r="R179" s="116">
        <f t="shared" si="68"/>
        <v>0</v>
      </c>
      <c r="S179" s="83">
        <f t="shared" si="69"/>
        <v>0</v>
      </c>
      <c r="T179" s="83">
        <f t="shared" si="69"/>
        <v>0</v>
      </c>
      <c r="U179" s="83">
        <f t="shared" si="75"/>
        <v>0</v>
      </c>
      <c r="V179" s="83">
        <f t="shared" si="75"/>
        <v>0</v>
      </c>
      <c r="W179" s="83">
        <f t="shared" si="75"/>
        <v>0</v>
      </c>
      <c r="X179" s="83">
        <f t="shared" si="75"/>
        <v>0</v>
      </c>
      <c r="Y179" s="83">
        <f t="shared" si="75"/>
        <v>0</v>
      </c>
      <c r="Z179" s="83">
        <f t="shared" si="75"/>
        <v>0</v>
      </c>
      <c r="AA179" s="83">
        <f t="shared" si="75"/>
        <v>0</v>
      </c>
      <c r="AB179" s="83">
        <f t="shared" si="75"/>
        <v>0</v>
      </c>
      <c r="AC179" s="83">
        <f t="shared" si="75"/>
        <v>0</v>
      </c>
      <c r="AD179" s="83">
        <f t="shared" si="75"/>
        <v>0</v>
      </c>
      <c r="AE179" s="83">
        <f t="shared" si="71"/>
        <v>0</v>
      </c>
      <c r="AF179" s="83"/>
      <c r="AH179" s="83"/>
      <c r="AI179" s="83"/>
      <c r="BB179" s="101">
        <f t="shared" si="74"/>
        <v>0</v>
      </c>
      <c r="BD179" s="112">
        <f t="shared" ref="BD179:BD205" si="76">ROUND(E179*(1+$BF$4),2)</f>
        <v>0</v>
      </c>
      <c r="BE179" s="136">
        <f t="shared" ref="BE179:BE205" si="77">BD179*AE179*12</f>
        <v>0</v>
      </c>
      <c r="BF179" s="137">
        <f t="shared" ref="BF179:BF205" si="78">+BE179-BB179</f>
        <v>0</v>
      </c>
      <c r="BG179" s="113">
        <f t="shared" ref="BG179:BG205" si="79">IFERROR(+BF179/BB179,0)</f>
        <v>0</v>
      </c>
    </row>
    <row r="180" spans="1:59" s="62" customFormat="1" outlineLevel="1" x14ac:dyDescent="0.25">
      <c r="A180" s="62" t="str">
        <f t="shared" ref="A180:A205" si="80">+$A$4&amp;$A$115&amp;B180</f>
        <v>MURREYSCOMMERCIALPACKC</v>
      </c>
      <c r="B180" s="81" t="s">
        <v>852</v>
      </c>
      <c r="C180" s="81" t="s">
        <v>853</v>
      </c>
      <c r="D180" s="82">
        <v>5.39</v>
      </c>
      <c r="E180" s="82">
        <v>5.39</v>
      </c>
      <c r="F180" s="83">
        <v>161.69999999999999</v>
      </c>
      <c r="G180" s="83">
        <v>163.05000000000001</v>
      </c>
      <c r="H180" s="83">
        <v>167.09</v>
      </c>
      <c r="I180" s="83">
        <v>167.09</v>
      </c>
      <c r="J180" s="83">
        <v>167.09</v>
      </c>
      <c r="K180" s="83">
        <v>167.09</v>
      </c>
      <c r="L180" s="83">
        <v>167.09</v>
      </c>
      <c r="M180" s="83">
        <v>167.71</v>
      </c>
      <c r="N180" s="83">
        <v>162.30000000000001</v>
      </c>
      <c r="O180" s="83">
        <v>94.8</v>
      </c>
      <c r="P180" s="83">
        <v>27.05</v>
      </c>
      <c r="Q180" s="83">
        <v>27.05</v>
      </c>
      <c r="R180" s="116">
        <f t="shared" si="68"/>
        <v>1639.11</v>
      </c>
      <c r="S180" s="83">
        <f t="shared" si="69"/>
        <v>30</v>
      </c>
      <c r="T180" s="83">
        <f t="shared" si="69"/>
        <v>30.250463821892396</v>
      </c>
      <c r="U180" s="83">
        <f t="shared" si="75"/>
        <v>31.000000000000004</v>
      </c>
      <c r="V180" s="83">
        <f t="shared" si="75"/>
        <v>31.000000000000004</v>
      </c>
      <c r="W180" s="83">
        <f t="shared" si="75"/>
        <v>31.000000000000004</v>
      </c>
      <c r="X180" s="83">
        <f t="shared" si="75"/>
        <v>31.000000000000004</v>
      </c>
      <c r="Y180" s="83">
        <f t="shared" si="75"/>
        <v>31.000000000000004</v>
      </c>
      <c r="Z180" s="83">
        <f t="shared" si="75"/>
        <v>31.115027829313547</v>
      </c>
      <c r="AA180" s="83">
        <f t="shared" si="75"/>
        <v>30.111317254174402</v>
      </c>
      <c r="AB180" s="83">
        <f t="shared" si="75"/>
        <v>17.588126159554733</v>
      </c>
      <c r="AC180" s="83">
        <f t="shared" si="75"/>
        <v>5.0185528756957334</v>
      </c>
      <c r="AD180" s="83">
        <f t="shared" si="75"/>
        <v>5.0185528756957334</v>
      </c>
      <c r="AE180" s="83">
        <f t="shared" si="71"/>
        <v>25.341836734693882</v>
      </c>
      <c r="AF180" s="83"/>
      <c r="AH180" s="83"/>
      <c r="AI180" s="83"/>
      <c r="BB180" s="101">
        <f t="shared" si="74"/>
        <v>1639.1100000000001</v>
      </c>
      <c r="BD180" s="112">
        <f t="shared" si="76"/>
        <v>5.42</v>
      </c>
      <c r="BE180" s="136">
        <f t="shared" si="77"/>
        <v>1648.23306122449</v>
      </c>
      <c r="BF180" s="137">
        <f t="shared" si="78"/>
        <v>9.1230612244899021</v>
      </c>
      <c r="BG180" s="113">
        <f t="shared" si="79"/>
        <v>5.5658627087199156E-3</v>
      </c>
    </row>
    <row r="181" spans="1:59" s="62" customFormat="1" outlineLevel="1" x14ac:dyDescent="0.25">
      <c r="A181" s="62" t="str">
        <f t="shared" si="80"/>
        <v>MURREYSCOMMERCIALR1YDEX</v>
      </c>
      <c r="B181" s="81" t="s">
        <v>854</v>
      </c>
      <c r="C181" s="81" t="s">
        <v>855</v>
      </c>
      <c r="D181" s="82">
        <v>25.7</v>
      </c>
      <c r="E181" s="82">
        <v>25.93</v>
      </c>
      <c r="F181" s="83">
        <v>128.5</v>
      </c>
      <c r="G181" s="83">
        <v>257</v>
      </c>
      <c r="H181" s="83">
        <v>103.72</v>
      </c>
      <c r="I181" s="83">
        <v>77.790000000000006</v>
      </c>
      <c r="J181" s="83">
        <v>207.44</v>
      </c>
      <c r="K181" s="83">
        <v>129.65</v>
      </c>
      <c r="L181" s="83">
        <v>285.23</v>
      </c>
      <c r="M181" s="83">
        <v>78</v>
      </c>
      <c r="N181" s="83">
        <v>182</v>
      </c>
      <c r="O181" s="83">
        <v>130</v>
      </c>
      <c r="P181" s="83">
        <v>78</v>
      </c>
      <c r="Q181" s="83">
        <v>104</v>
      </c>
      <c r="R181" s="116">
        <f t="shared" si="68"/>
        <v>1761.33</v>
      </c>
      <c r="S181" s="83">
        <f t="shared" si="69"/>
        <v>5</v>
      </c>
      <c r="T181" s="83">
        <f t="shared" si="69"/>
        <v>10</v>
      </c>
      <c r="U181" s="83">
        <f t="shared" si="75"/>
        <v>4</v>
      </c>
      <c r="V181" s="83">
        <f t="shared" si="75"/>
        <v>3.0000000000000004</v>
      </c>
      <c r="W181" s="83">
        <f t="shared" si="75"/>
        <v>8</v>
      </c>
      <c r="X181" s="83">
        <f t="shared" si="75"/>
        <v>5</v>
      </c>
      <c r="Y181" s="83">
        <f t="shared" si="75"/>
        <v>11</v>
      </c>
      <c r="Z181" s="83">
        <f t="shared" si="75"/>
        <v>3.0080987273428463</v>
      </c>
      <c r="AA181" s="83">
        <f t="shared" si="75"/>
        <v>7.0188970304666407</v>
      </c>
      <c r="AB181" s="83">
        <f t="shared" si="75"/>
        <v>5.0134978789047437</v>
      </c>
      <c r="AC181" s="83">
        <f t="shared" si="75"/>
        <v>3.0080987273428463</v>
      </c>
      <c r="AD181" s="83">
        <f t="shared" si="75"/>
        <v>4.0107983031237948</v>
      </c>
      <c r="AE181" s="83">
        <f t="shared" si="71"/>
        <v>5.671615888931739</v>
      </c>
      <c r="AF181" s="83"/>
      <c r="AH181" s="83"/>
      <c r="AI181" s="83"/>
      <c r="BB181" s="101">
        <f t="shared" si="74"/>
        <v>1764.78</v>
      </c>
      <c r="BD181" s="112">
        <f t="shared" si="76"/>
        <v>26.05</v>
      </c>
      <c r="BE181" s="136">
        <f t="shared" si="77"/>
        <v>1772.9471268800617</v>
      </c>
      <c r="BF181" s="137">
        <f t="shared" si="78"/>
        <v>8.1671268800616872</v>
      </c>
      <c r="BG181" s="113">
        <f t="shared" si="79"/>
        <v>4.6278441959120608E-3</v>
      </c>
    </row>
    <row r="182" spans="1:59" s="62" customFormat="1" outlineLevel="1" x14ac:dyDescent="0.25">
      <c r="A182" s="62" t="str">
        <f t="shared" si="80"/>
        <v>MURREYSCOMMERCIALF1YDEX</v>
      </c>
      <c r="B182" s="81" t="s">
        <v>856</v>
      </c>
      <c r="C182" s="81" t="s">
        <v>857</v>
      </c>
      <c r="D182" s="82">
        <v>25.7</v>
      </c>
      <c r="E182" s="82">
        <v>25.93</v>
      </c>
      <c r="F182" s="83">
        <v>0</v>
      </c>
      <c r="G182" s="83">
        <v>0</v>
      </c>
      <c r="H182" s="83">
        <v>0</v>
      </c>
      <c r="I182" s="83">
        <v>0</v>
      </c>
      <c r="J182" s="83">
        <v>0</v>
      </c>
      <c r="K182" s="83">
        <v>0</v>
      </c>
      <c r="L182" s="83">
        <v>0</v>
      </c>
      <c r="M182" s="83">
        <v>0</v>
      </c>
      <c r="N182" s="83">
        <v>0</v>
      </c>
      <c r="O182" s="83">
        <v>0</v>
      </c>
      <c r="P182" s="83">
        <v>0</v>
      </c>
      <c r="Q182" s="83">
        <v>0</v>
      </c>
      <c r="R182" s="116">
        <f>+SUM(F182:Q182)</f>
        <v>0</v>
      </c>
      <c r="S182" s="83">
        <f>+IFERROR(F182/$D182,0)</f>
        <v>0</v>
      </c>
      <c r="T182" s="83">
        <f>+IFERROR(G182/$D182,0)</f>
        <v>0</v>
      </c>
      <c r="U182" s="83">
        <f t="shared" si="75"/>
        <v>0</v>
      </c>
      <c r="V182" s="83">
        <f t="shared" si="75"/>
        <v>0</v>
      </c>
      <c r="W182" s="83">
        <f t="shared" si="75"/>
        <v>0</v>
      </c>
      <c r="X182" s="83">
        <f t="shared" si="75"/>
        <v>0</v>
      </c>
      <c r="Y182" s="83">
        <f t="shared" si="75"/>
        <v>0</v>
      </c>
      <c r="Z182" s="83">
        <f t="shared" si="75"/>
        <v>0</v>
      </c>
      <c r="AA182" s="83">
        <f t="shared" si="75"/>
        <v>0</v>
      </c>
      <c r="AB182" s="83">
        <f t="shared" si="75"/>
        <v>0</v>
      </c>
      <c r="AC182" s="83">
        <f t="shared" si="75"/>
        <v>0</v>
      </c>
      <c r="AD182" s="83">
        <f t="shared" si="75"/>
        <v>0</v>
      </c>
      <c r="AE182" s="83">
        <f>+SUM(S182:AD182)/$AB$2</f>
        <v>0</v>
      </c>
      <c r="AF182" s="83"/>
      <c r="AH182" s="83"/>
      <c r="AI182" s="83"/>
      <c r="BB182" s="101">
        <f t="shared" si="74"/>
        <v>0</v>
      </c>
      <c r="BD182" s="112">
        <f t="shared" si="76"/>
        <v>26.05</v>
      </c>
      <c r="BE182" s="136">
        <f t="shared" si="77"/>
        <v>0</v>
      </c>
      <c r="BF182" s="137">
        <f t="shared" si="78"/>
        <v>0</v>
      </c>
      <c r="BG182" s="113">
        <f t="shared" si="79"/>
        <v>0</v>
      </c>
    </row>
    <row r="183" spans="1:59" s="62" customFormat="1" outlineLevel="1" x14ac:dyDescent="0.25">
      <c r="A183" s="62" t="str">
        <f t="shared" si="80"/>
        <v>MURREYSCOMMERCIALR1.5YDEX</v>
      </c>
      <c r="B183" s="81" t="s">
        <v>858</v>
      </c>
      <c r="C183" s="81" t="s">
        <v>859</v>
      </c>
      <c r="D183" s="82">
        <v>34.74</v>
      </c>
      <c r="E183" s="82">
        <v>35.07</v>
      </c>
      <c r="F183" s="83">
        <v>0</v>
      </c>
      <c r="G183" s="83">
        <v>0</v>
      </c>
      <c r="H183" s="83">
        <v>0</v>
      </c>
      <c r="I183" s="83">
        <v>70.14</v>
      </c>
      <c r="J183" s="83">
        <v>0</v>
      </c>
      <c r="K183" s="83">
        <v>35.07</v>
      </c>
      <c r="L183" s="83">
        <v>105.21</v>
      </c>
      <c r="M183" s="83">
        <v>35.17</v>
      </c>
      <c r="N183" s="83">
        <v>281.36</v>
      </c>
      <c r="O183" s="83">
        <v>0</v>
      </c>
      <c r="P183" s="83">
        <v>35.17</v>
      </c>
      <c r="Q183" s="83">
        <v>0</v>
      </c>
      <c r="R183" s="116">
        <f>+SUM(F183:Q183)</f>
        <v>562.12</v>
      </c>
      <c r="S183" s="83">
        <f>+IFERROR(F183/$D183,0)</f>
        <v>0</v>
      </c>
      <c r="T183" s="83">
        <f>+IFERROR(G183/$D183,0)</f>
        <v>0</v>
      </c>
      <c r="U183" s="83">
        <f t="shared" si="75"/>
        <v>0</v>
      </c>
      <c r="V183" s="83">
        <f t="shared" si="75"/>
        <v>2</v>
      </c>
      <c r="W183" s="83">
        <f t="shared" si="75"/>
        <v>0</v>
      </c>
      <c r="X183" s="83">
        <f t="shared" si="75"/>
        <v>1</v>
      </c>
      <c r="Y183" s="83">
        <f t="shared" si="75"/>
        <v>3</v>
      </c>
      <c r="Z183" s="83">
        <f t="shared" si="75"/>
        <v>1.0028514399771886</v>
      </c>
      <c r="AA183" s="83">
        <f t="shared" si="75"/>
        <v>8.022811519817509</v>
      </c>
      <c r="AB183" s="83">
        <f t="shared" si="75"/>
        <v>0</v>
      </c>
      <c r="AC183" s="83">
        <f t="shared" si="75"/>
        <v>1.0028514399771886</v>
      </c>
      <c r="AD183" s="83">
        <f t="shared" si="75"/>
        <v>0</v>
      </c>
      <c r="AE183" s="83">
        <f>+SUM(S183:AD183)/$AB$2</f>
        <v>1.3357095333143238</v>
      </c>
      <c r="AF183" s="83"/>
      <c r="AH183" s="83"/>
      <c r="AI183" s="83"/>
      <c r="BB183" s="101">
        <f t="shared" si="74"/>
        <v>562.12000000000012</v>
      </c>
      <c r="BD183" s="112">
        <f t="shared" si="76"/>
        <v>35.229999999999997</v>
      </c>
      <c r="BE183" s="136">
        <f t="shared" si="77"/>
        <v>564.6845623039635</v>
      </c>
      <c r="BF183" s="137">
        <f t="shared" si="78"/>
        <v>2.5645623039633847</v>
      </c>
      <c r="BG183" s="113">
        <f t="shared" si="79"/>
        <v>4.5623039635013596E-3</v>
      </c>
    </row>
    <row r="184" spans="1:59" s="62" customFormat="1" outlineLevel="1" x14ac:dyDescent="0.25">
      <c r="A184" s="62" t="str">
        <f t="shared" si="80"/>
        <v>MURREYSCOMMERCIALR2YDEX</v>
      </c>
      <c r="B184" s="81" t="s">
        <v>860</v>
      </c>
      <c r="C184" s="81" t="s">
        <v>861</v>
      </c>
      <c r="D184" s="82">
        <v>42.78</v>
      </c>
      <c r="E184" s="82">
        <v>43.21</v>
      </c>
      <c r="F184" s="83">
        <v>256.68</v>
      </c>
      <c r="G184" s="83">
        <v>128.34</v>
      </c>
      <c r="H184" s="83">
        <v>129.63</v>
      </c>
      <c r="I184" s="83">
        <v>302.47000000000003</v>
      </c>
      <c r="J184" s="83">
        <v>691.36</v>
      </c>
      <c r="K184" s="83">
        <v>518.52</v>
      </c>
      <c r="L184" s="83">
        <v>561.73</v>
      </c>
      <c r="M184" s="83">
        <v>303.31</v>
      </c>
      <c r="N184" s="83">
        <v>433.3</v>
      </c>
      <c r="O184" s="83">
        <v>303.31</v>
      </c>
      <c r="P184" s="83">
        <v>259.98</v>
      </c>
      <c r="Q184" s="83">
        <v>259.98</v>
      </c>
      <c r="R184" s="116">
        <f t="shared" si="68"/>
        <v>4148.6100000000006</v>
      </c>
      <c r="S184" s="83">
        <f t="shared" si="69"/>
        <v>6</v>
      </c>
      <c r="T184" s="83">
        <f t="shared" si="69"/>
        <v>3</v>
      </c>
      <c r="U184" s="83">
        <f t="shared" si="75"/>
        <v>3</v>
      </c>
      <c r="V184" s="83">
        <f t="shared" si="75"/>
        <v>7.0000000000000009</v>
      </c>
      <c r="W184" s="83">
        <f t="shared" si="75"/>
        <v>16</v>
      </c>
      <c r="X184" s="83">
        <f t="shared" si="75"/>
        <v>12</v>
      </c>
      <c r="Y184" s="83">
        <f t="shared" si="75"/>
        <v>13</v>
      </c>
      <c r="Z184" s="83">
        <f t="shared" si="75"/>
        <v>7.0194399444573019</v>
      </c>
      <c r="AA184" s="83">
        <f t="shared" si="75"/>
        <v>10.027771349224716</v>
      </c>
      <c r="AB184" s="83">
        <f t="shared" si="75"/>
        <v>7.0194399444573019</v>
      </c>
      <c r="AC184" s="83">
        <f t="shared" si="75"/>
        <v>6.0166628095348305</v>
      </c>
      <c r="AD184" s="83">
        <f t="shared" si="75"/>
        <v>6.0166628095348305</v>
      </c>
      <c r="AE184" s="83">
        <f t="shared" si="71"/>
        <v>8.0083314047674161</v>
      </c>
      <c r="AF184" s="83"/>
      <c r="AH184" s="83"/>
      <c r="AI184" s="83"/>
      <c r="BB184" s="101">
        <f t="shared" si="74"/>
        <v>4152.4800000000014</v>
      </c>
      <c r="BD184" s="112">
        <f t="shared" si="76"/>
        <v>43.41</v>
      </c>
      <c r="BE184" s="136">
        <f t="shared" si="77"/>
        <v>4171.6999953714421</v>
      </c>
      <c r="BF184" s="137">
        <f t="shared" si="78"/>
        <v>19.219995371440746</v>
      </c>
      <c r="BG184" s="113">
        <f t="shared" si="79"/>
        <v>4.6285582041191622E-3</v>
      </c>
    </row>
    <row r="185" spans="1:59" s="62" customFormat="1" outlineLevel="1" x14ac:dyDescent="0.25">
      <c r="A185" s="62" t="str">
        <f t="shared" si="80"/>
        <v>MURREYSCOMMERCIALF2YDEX</v>
      </c>
      <c r="B185" s="81" t="s">
        <v>862</v>
      </c>
      <c r="C185" s="81" t="s">
        <v>863</v>
      </c>
      <c r="D185" s="82">
        <v>42.78</v>
      </c>
      <c r="E185" s="82">
        <v>43.21</v>
      </c>
      <c r="F185" s="83">
        <v>0</v>
      </c>
      <c r="G185" s="83">
        <v>0</v>
      </c>
      <c r="H185" s="83">
        <v>0</v>
      </c>
      <c r="I185" s="83">
        <v>0</v>
      </c>
      <c r="J185" s="83">
        <v>86.42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  <c r="Q185" s="83">
        <v>0</v>
      </c>
      <c r="R185" s="116">
        <f>+SUM(F185:Q185)</f>
        <v>86.42</v>
      </c>
      <c r="S185" s="83">
        <f>+IFERROR(F185/$D185,0)</f>
        <v>0</v>
      </c>
      <c r="T185" s="83">
        <f>+IFERROR(G185/$D185,0)</f>
        <v>0</v>
      </c>
      <c r="U185" s="83">
        <f t="shared" si="75"/>
        <v>0</v>
      </c>
      <c r="V185" s="83">
        <f t="shared" si="75"/>
        <v>0</v>
      </c>
      <c r="W185" s="83">
        <f t="shared" si="75"/>
        <v>2</v>
      </c>
      <c r="X185" s="83">
        <f t="shared" si="75"/>
        <v>0</v>
      </c>
      <c r="Y185" s="83">
        <f t="shared" si="75"/>
        <v>0</v>
      </c>
      <c r="Z185" s="83">
        <f t="shared" si="75"/>
        <v>0</v>
      </c>
      <c r="AA185" s="83">
        <f t="shared" si="75"/>
        <v>0</v>
      </c>
      <c r="AB185" s="83">
        <f t="shared" si="75"/>
        <v>0</v>
      </c>
      <c r="AC185" s="83">
        <f t="shared" si="75"/>
        <v>0</v>
      </c>
      <c r="AD185" s="83">
        <f t="shared" si="75"/>
        <v>0</v>
      </c>
      <c r="AE185" s="83">
        <f>+SUM(S185:AD185)/$AB$2</f>
        <v>0.16666666666666666</v>
      </c>
      <c r="AF185" s="83"/>
      <c r="AH185" s="83"/>
      <c r="AI185" s="83"/>
      <c r="BB185" s="101">
        <f t="shared" si="74"/>
        <v>86.419999999999987</v>
      </c>
      <c r="BD185" s="112">
        <f t="shared" si="76"/>
        <v>43.41</v>
      </c>
      <c r="BE185" s="136">
        <f t="shared" si="77"/>
        <v>86.82</v>
      </c>
      <c r="BF185" s="137">
        <f t="shared" si="78"/>
        <v>0.40000000000000568</v>
      </c>
      <c r="BG185" s="113">
        <f t="shared" si="79"/>
        <v>4.6285582041194831E-3</v>
      </c>
    </row>
    <row r="186" spans="1:59" s="62" customFormat="1" outlineLevel="1" x14ac:dyDescent="0.25">
      <c r="A186" s="62" t="str">
        <f t="shared" si="80"/>
        <v>MURREYSCOMMERCIALF4YDEX</v>
      </c>
      <c r="B186" s="81" t="s">
        <v>864</v>
      </c>
      <c r="C186" s="81" t="s">
        <v>865</v>
      </c>
      <c r="D186" s="82">
        <v>78.47</v>
      </c>
      <c r="E186" s="82">
        <v>79.28</v>
      </c>
      <c r="F186" s="83">
        <v>235.41</v>
      </c>
      <c r="G186" s="83">
        <v>470.82000000000005</v>
      </c>
      <c r="H186" s="83">
        <v>493.84999999999997</v>
      </c>
      <c r="I186" s="83">
        <v>634.24</v>
      </c>
      <c r="J186" s="83">
        <v>872.08</v>
      </c>
      <c r="K186" s="83">
        <v>1268.48</v>
      </c>
      <c r="L186" s="83">
        <v>872.08</v>
      </c>
      <c r="M186" s="83">
        <v>954</v>
      </c>
      <c r="N186" s="83">
        <v>954</v>
      </c>
      <c r="O186" s="83">
        <v>715.5</v>
      </c>
      <c r="P186" s="83">
        <v>874.5</v>
      </c>
      <c r="Q186" s="83">
        <v>1431</v>
      </c>
      <c r="R186" s="116">
        <f>+SUM(F186:Q186)</f>
        <v>9775.9599999999991</v>
      </c>
      <c r="S186" s="83">
        <f>+IFERROR(F186/$D186,0)</f>
        <v>3</v>
      </c>
      <c r="T186" s="83">
        <f>+IFERROR(G186/$D186,0)</f>
        <v>6.0000000000000009</v>
      </c>
      <c r="U186" s="83">
        <f t="shared" si="75"/>
        <v>6.2291876892028251</v>
      </c>
      <c r="V186" s="83">
        <f t="shared" si="75"/>
        <v>8</v>
      </c>
      <c r="W186" s="83">
        <f t="shared" si="75"/>
        <v>11</v>
      </c>
      <c r="X186" s="83">
        <f t="shared" si="75"/>
        <v>16</v>
      </c>
      <c r="Y186" s="83">
        <f t="shared" si="75"/>
        <v>11</v>
      </c>
      <c r="Z186" s="83">
        <f t="shared" si="75"/>
        <v>12.03329969727548</v>
      </c>
      <c r="AA186" s="83">
        <f t="shared" si="75"/>
        <v>12.03329969727548</v>
      </c>
      <c r="AB186" s="83">
        <f t="shared" si="75"/>
        <v>9.0249747729566092</v>
      </c>
      <c r="AC186" s="83">
        <f t="shared" si="75"/>
        <v>11.030524722502523</v>
      </c>
      <c r="AD186" s="83">
        <f t="shared" si="75"/>
        <v>18.049949545913218</v>
      </c>
      <c r="AE186" s="83">
        <f>+SUM(S186:AD186)/$AB$2</f>
        <v>10.283436343760512</v>
      </c>
      <c r="AF186" s="83"/>
      <c r="AH186" s="83"/>
      <c r="AI186" s="83"/>
      <c r="BB186" s="101">
        <f t="shared" si="74"/>
        <v>9783.25</v>
      </c>
      <c r="BD186" s="112">
        <f t="shared" si="76"/>
        <v>79.650000000000006</v>
      </c>
      <c r="BE186" s="136">
        <f t="shared" si="77"/>
        <v>9828.9084573662985</v>
      </c>
      <c r="BF186" s="137">
        <f t="shared" si="78"/>
        <v>45.658457366298535</v>
      </c>
      <c r="BG186" s="113">
        <f t="shared" si="79"/>
        <v>4.6670030272453972E-3</v>
      </c>
    </row>
    <row r="187" spans="1:59" s="62" customFormat="1" outlineLevel="1" x14ac:dyDescent="0.25">
      <c r="A187" s="62" t="str">
        <f t="shared" si="80"/>
        <v>MURREYSCOMMERCIALADJCOM</v>
      </c>
      <c r="B187" s="81" t="s">
        <v>866</v>
      </c>
      <c r="C187" s="81" t="s">
        <v>867</v>
      </c>
      <c r="D187" s="82">
        <v>0</v>
      </c>
      <c r="E187" s="82">
        <v>0</v>
      </c>
      <c r="F187" s="83">
        <v>0</v>
      </c>
      <c r="G187" s="83">
        <v>0</v>
      </c>
      <c r="H187" s="83">
        <v>0</v>
      </c>
      <c r="I187" s="83">
        <v>-2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-10.07</v>
      </c>
      <c r="Q187" s="83">
        <v>-8.42</v>
      </c>
      <c r="R187" s="116">
        <f t="shared" ref="R187:R205" si="81">+SUM(F187:Q187)</f>
        <v>-20.490000000000002</v>
      </c>
      <c r="S187" s="83">
        <f t="shared" si="69"/>
        <v>0</v>
      </c>
      <c r="T187" s="83">
        <f t="shared" si="69"/>
        <v>0</v>
      </c>
      <c r="U187" s="83">
        <f t="shared" si="75"/>
        <v>0</v>
      </c>
      <c r="V187" s="83">
        <f t="shared" si="75"/>
        <v>0</v>
      </c>
      <c r="W187" s="83">
        <f t="shared" si="75"/>
        <v>0</v>
      </c>
      <c r="X187" s="83">
        <f t="shared" si="75"/>
        <v>0</v>
      </c>
      <c r="Y187" s="83">
        <f t="shared" si="75"/>
        <v>0</v>
      </c>
      <c r="Z187" s="83">
        <f t="shared" si="75"/>
        <v>0</v>
      </c>
      <c r="AA187" s="83">
        <f t="shared" si="75"/>
        <v>0</v>
      </c>
      <c r="AB187" s="83">
        <f t="shared" si="75"/>
        <v>0</v>
      </c>
      <c r="AC187" s="83">
        <f t="shared" si="75"/>
        <v>0</v>
      </c>
      <c r="AD187" s="83">
        <f t="shared" si="75"/>
        <v>0</v>
      </c>
      <c r="AE187" s="83">
        <f t="shared" si="71"/>
        <v>0</v>
      </c>
      <c r="AF187" s="83"/>
      <c r="AH187" s="83"/>
      <c r="AI187" s="83"/>
      <c r="BB187" s="101">
        <f t="shared" si="74"/>
        <v>0</v>
      </c>
      <c r="BD187" s="112">
        <f t="shared" si="76"/>
        <v>0</v>
      </c>
      <c r="BE187" s="136">
        <f t="shared" si="77"/>
        <v>0</v>
      </c>
      <c r="BF187" s="137">
        <f t="shared" si="78"/>
        <v>0</v>
      </c>
      <c r="BG187" s="113">
        <f t="shared" si="79"/>
        <v>0</v>
      </c>
    </row>
    <row r="188" spans="1:59" s="62" customFormat="1" outlineLevel="1" x14ac:dyDescent="0.25">
      <c r="A188" s="62" t="str">
        <f t="shared" si="80"/>
        <v>MURREYSCOMMERCIALCCONNECT</v>
      </c>
      <c r="B188" s="81" t="s">
        <v>868</v>
      </c>
      <c r="C188" s="81" t="s">
        <v>869</v>
      </c>
      <c r="D188" s="82">
        <v>0</v>
      </c>
      <c r="E188" s="82">
        <v>0</v>
      </c>
      <c r="F188" s="83">
        <v>0</v>
      </c>
      <c r="G188" s="83">
        <v>0</v>
      </c>
      <c r="H188" s="83">
        <v>0</v>
      </c>
      <c r="I188" s="83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  <c r="Q188" s="83">
        <v>0</v>
      </c>
      <c r="R188" s="116">
        <f t="shared" si="81"/>
        <v>0</v>
      </c>
      <c r="S188" s="83">
        <f t="shared" ref="S188:T205" si="82">+IFERROR(F188/$D188,0)</f>
        <v>0</v>
      </c>
      <c r="T188" s="83">
        <f t="shared" si="82"/>
        <v>0</v>
      </c>
      <c r="U188" s="83">
        <f t="shared" si="75"/>
        <v>0</v>
      </c>
      <c r="V188" s="83">
        <f t="shared" si="75"/>
        <v>0</v>
      </c>
      <c r="W188" s="83">
        <f t="shared" si="75"/>
        <v>0</v>
      </c>
      <c r="X188" s="83">
        <f t="shared" si="75"/>
        <v>0</v>
      </c>
      <c r="Y188" s="83">
        <f t="shared" si="75"/>
        <v>0</v>
      </c>
      <c r="Z188" s="83">
        <f t="shared" si="75"/>
        <v>0</v>
      </c>
      <c r="AA188" s="83">
        <f t="shared" si="75"/>
        <v>0</v>
      </c>
      <c r="AB188" s="83">
        <f t="shared" si="75"/>
        <v>0</v>
      </c>
      <c r="AC188" s="83">
        <f t="shared" si="75"/>
        <v>0</v>
      </c>
      <c r="AD188" s="83">
        <f t="shared" si="75"/>
        <v>0</v>
      </c>
      <c r="AE188" s="83">
        <f t="shared" ref="AE188:AE205" si="83">+SUM(S188:AD188)/$AB$2</f>
        <v>0</v>
      </c>
      <c r="AF188" s="83"/>
      <c r="AH188" s="83"/>
      <c r="AI188" s="83"/>
      <c r="BB188" s="101">
        <f t="shared" si="74"/>
        <v>0</v>
      </c>
      <c r="BD188" s="112">
        <f t="shared" si="76"/>
        <v>0</v>
      </c>
      <c r="BE188" s="136">
        <f t="shared" si="77"/>
        <v>0</v>
      </c>
      <c r="BF188" s="137">
        <f t="shared" si="78"/>
        <v>0</v>
      </c>
      <c r="BG188" s="113">
        <f t="shared" si="79"/>
        <v>0</v>
      </c>
    </row>
    <row r="189" spans="1:59" s="62" customFormat="1" outlineLevel="1" x14ac:dyDescent="0.25">
      <c r="A189" s="62" t="str">
        <f t="shared" si="80"/>
        <v>MURREYSCOMMERCIALCDEL</v>
      </c>
      <c r="B189" s="81" t="s">
        <v>870</v>
      </c>
      <c r="C189" s="81" t="s">
        <v>871</v>
      </c>
      <c r="D189" s="82">
        <v>42.51</v>
      </c>
      <c r="E189" s="82">
        <v>42.51</v>
      </c>
      <c r="F189" s="83">
        <v>42.51</v>
      </c>
      <c r="G189" s="83">
        <v>42.51</v>
      </c>
      <c r="H189" s="83">
        <v>170.04</v>
      </c>
      <c r="I189" s="83">
        <v>127.53</v>
      </c>
      <c r="J189" s="83">
        <v>170.04</v>
      </c>
      <c r="K189" s="83">
        <v>170.04</v>
      </c>
      <c r="L189" s="83">
        <v>42.51</v>
      </c>
      <c r="M189" s="83">
        <v>0</v>
      </c>
      <c r="N189" s="83">
        <v>0</v>
      </c>
      <c r="O189" s="83">
        <v>0</v>
      </c>
      <c r="P189" s="83">
        <v>42.63</v>
      </c>
      <c r="Q189" s="83">
        <v>127.89</v>
      </c>
      <c r="R189" s="116">
        <f t="shared" si="81"/>
        <v>935.69999999999993</v>
      </c>
      <c r="S189" s="83">
        <f t="shared" si="82"/>
        <v>1</v>
      </c>
      <c r="T189" s="83">
        <f t="shared" si="82"/>
        <v>1</v>
      </c>
      <c r="U189" s="83">
        <f t="shared" si="75"/>
        <v>4</v>
      </c>
      <c r="V189" s="83">
        <f t="shared" si="75"/>
        <v>3</v>
      </c>
      <c r="W189" s="83">
        <f t="shared" si="75"/>
        <v>4</v>
      </c>
      <c r="X189" s="83">
        <f t="shared" si="75"/>
        <v>4</v>
      </c>
      <c r="Y189" s="83">
        <f t="shared" si="75"/>
        <v>1</v>
      </c>
      <c r="Z189" s="83">
        <f t="shared" ref="Z189:AD205" si="84">+IFERROR(M189/$E189,0)</f>
        <v>0</v>
      </c>
      <c r="AA189" s="83">
        <f t="shared" si="84"/>
        <v>0</v>
      </c>
      <c r="AB189" s="83">
        <f t="shared" si="84"/>
        <v>0</v>
      </c>
      <c r="AC189" s="83">
        <f t="shared" si="84"/>
        <v>1.0028228652081863</v>
      </c>
      <c r="AD189" s="83">
        <f t="shared" si="84"/>
        <v>3.0084685956245591</v>
      </c>
      <c r="AE189" s="83">
        <f t="shared" si="83"/>
        <v>1.834274288402729</v>
      </c>
      <c r="AF189" s="83"/>
      <c r="AH189" s="83"/>
      <c r="AI189" s="83"/>
      <c r="BB189" s="101">
        <f t="shared" si="74"/>
        <v>935.7</v>
      </c>
      <c r="BD189" s="112">
        <f t="shared" si="76"/>
        <v>42.71</v>
      </c>
      <c r="BE189" s="136">
        <f t="shared" si="77"/>
        <v>940.10225829216665</v>
      </c>
      <c r="BF189" s="137">
        <f t="shared" si="78"/>
        <v>4.4022582921666071</v>
      </c>
      <c r="BG189" s="113">
        <f t="shared" si="79"/>
        <v>4.7047753469772434E-3</v>
      </c>
    </row>
    <row r="190" spans="1:59" s="62" customFormat="1" outlineLevel="1" x14ac:dyDescent="0.25">
      <c r="A190" s="62" t="str">
        <f t="shared" si="80"/>
        <v>MURREYSCOMMERCIALCEX</v>
      </c>
      <c r="B190" s="81" t="s">
        <v>872</v>
      </c>
      <c r="C190" s="81" t="s">
        <v>873</v>
      </c>
      <c r="D190" s="82">
        <v>4.74</v>
      </c>
      <c r="E190" s="82">
        <v>4.78</v>
      </c>
      <c r="F190" s="83">
        <v>973.81999999999994</v>
      </c>
      <c r="G190" s="83">
        <v>597.24</v>
      </c>
      <c r="H190" s="83">
        <v>688.07</v>
      </c>
      <c r="I190" s="83">
        <v>659.6400000000001</v>
      </c>
      <c r="J190" s="83">
        <v>709.05</v>
      </c>
      <c r="K190" s="83">
        <v>530.70000000000005</v>
      </c>
      <c r="L190" s="83">
        <v>1104.23</v>
      </c>
      <c r="M190" s="83">
        <v>938.72</v>
      </c>
      <c r="N190" s="83">
        <v>1010.71</v>
      </c>
      <c r="O190" s="83">
        <v>1044.22</v>
      </c>
      <c r="P190" s="83">
        <v>967.58</v>
      </c>
      <c r="Q190" s="83">
        <v>886.15</v>
      </c>
      <c r="R190" s="116">
        <f t="shared" si="81"/>
        <v>10110.129999999999</v>
      </c>
      <c r="S190" s="83">
        <f t="shared" si="82"/>
        <v>205.44725738396622</v>
      </c>
      <c r="T190" s="83">
        <f t="shared" si="82"/>
        <v>126</v>
      </c>
      <c r="U190" s="83">
        <f t="shared" ref="U190:Y205" si="85">+IFERROR(H190/$E190,0)</f>
        <v>143.94769874476987</v>
      </c>
      <c r="V190" s="83">
        <f t="shared" si="85"/>
        <v>138</v>
      </c>
      <c r="W190" s="83">
        <f t="shared" si="85"/>
        <v>148.336820083682</v>
      </c>
      <c r="X190" s="83">
        <f t="shared" si="85"/>
        <v>111.02510460251047</v>
      </c>
      <c r="Y190" s="83">
        <f t="shared" si="85"/>
        <v>231.01046025104603</v>
      </c>
      <c r="Z190" s="83">
        <f t="shared" si="84"/>
        <v>196.38493723849371</v>
      </c>
      <c r="AA190" s="83">
        <f t="shared" si="84"/>
        <v>211.44560669456067</v>
      </c>
      <c r="AB190" s="83">
        <f t="shared" si="84"/>
        <v>218.45606694560669</v>
      </c>
      <c r="AC190" s="83">
        <f t="shared" si="84"/>
        <v>202.42259414225941</v>
      </c>
      <c r="AD190" s="83">
        <f t="shared" si="84"/>
        <v>185.38702928870291</v>
      </c>
      <c r="AE190" s="83">
        <f t="shared" si="83"/>
        <v>176.48863128129983</v>
      </c>
      <c r="AF190" s="83"/>
      <c r="AH190" s="83"/>
      <c r="AI190" s="83"/>
      <c r="BB190" s="101">
        <f t="shared" si="74"/>
        <v>10123.387890295358</v>
      </c>
      <c r="BD190" s="112">
        <f t="shared" si="76"/>
        <v>4.8</v>
      </c>
      <c r="BE190" s="136">
        <f t="shared" si="77"/>
        <v>10165.74516180287</v>
      </c>
      <c r="BF190" s="137">
        <f t="shared" si="78"/>
        <v>42.357271507511541</v>
      </c>
      <c r="BG190" s="113">
        <f t="shared" si="79"/>
        <v>4.1841004184100007E-3</v>
      </c>
    </row>
    <row r="191" spans="1:59" s="62" customFormat="1" outlineLevel="1" x14ac:dyDescent="0.25">
      <c r="A191" s="62" t="str">
        <f t="shared" si="80"/>
        <v>MURREYSCOMMERCIALBULKY-COM</v>
      </c>
      <c r="B191" s="81" t="s">
        <v>874</v>
      </c>
      <c r="C191" s="81" t="s">
        <v>674</v>
      </c>
      <c r="D191" s="82"/>
      <c r="E191" s="82"/>
      <c r="F191" s="83">
        <v>0</v>
      </c>
      <c r="G191" s="83">
        <v>0</v>
      </c>
      <c r="H191" s="83">
        <v>0</v>
      </c>
      <c r="I191" s="83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83">
        <v>0</v>
      </c>
      <c r="P191" s="83">
        <v>0</v>
      </c>
      <c r="Q191" s="83">
        <v>0</v>
      </c>
      <c r="R191" s="116">
        <f t="shared" si="81"/>
        <v>0</v>
      </c>
      <c r="S191" s="83">
        <f t="shared" si="82"/>
        <v>0</v>
      </c>
      <c r="T191" s="83">
        <f t="shared" si="82"/>
        <v>0</v>
      </c>
      <c r="U191" s="83">
        <f t="shared" si="85"/>
        <v>0</v>
      </c>
      <c r="V191" s="83">
        <f t="shared" si="85"/>
        <v>0</v>
      </c>
      <c r="W191" s="83">
        <f t="shared" si="85"/>
        <v>0</v>
      </c>
      <c r="X191" s="83">
        <f t="shared" si="85"/>
        <v>0</v>
      </c>
      <c r="Y191" s="83">
        <f t="shared" si="85"/>
        <v>0</v>
      </c>
      <c r="Z191" s="83">
        <f t="shared" si="84"/>
        <v>0</v>
      </c>
      <c r="AA191" s="83">
        <f t="shared" si="84"/>
        <v>0</v>
      </c>
      <c r="AB191" s="83">
        <f t="shared" si="84"/>
        <v>0</v>
      </c>
      <c r="AC191" s="83">
        <f t="shared" si="84"/>
        <v>0</v>
      </c>
      <c r="AD191" s="83">
        <f t="shared" si="84"/>
        <v>0</v>
      </c>
      <c r="AE191" s="83">
        <f t="shared" si="83"/>
        <v>0</v>
      </c>
      <c r="AF191" s="83"/>
      <c r="AH191" s="83"/>
      <c r="AI191" s="83"/>
      <c r="BB191" s="101">
        <f t="shared" si="74"/>
        <v>0</v>
      </c>
      <c r="BD191" s="112">
        <f t="shared" si="76"/>
        <v>0</v>
      </c>
      <c r="BE191" s="136">
        <f t="shared" si="77"/>
        <v>0</v>
      </c>
      <c r="BF191" s="137">
        <f t="shared" si="78"/>
        <v>0</v>
      </c>
      <c r="BG191" s="113">
        <f t="shared" si="79"/>
        <v>0</v>
      </c>
    </row>
    <row r="192" spans="1:59" s="62" customFormat="1" outlineLevel="1" x14ac:dyDescent="0.25">
      <c r="A192" s="62" t="str">
        <f t="shared" si="80"/>
        <v>MURREYSCOMMERCIALCEXYD</v>
      </c>
      <c r="B192" s="81" t="s">
        <v>875</v>
      </c>
      <c r="C192" s="81" t="s">
        <v>876</v>
      </c>
      <c r="D192" s="82">
        <v>25.51</v>
      </c>
      <c r="E192" s="82">
        <v>25.67</v>
      </c>
      <c r="F192" s="83">
        <v>8392.7999999999993</v>
      </c>
      <c r="G192" s="83">
        <v>8329.93</v>
      </c>
      <c r="H192" s="83">
        <v>10472.27</v>
      </c>
      <c r="I192" s="83">
        <v>9292.57</v>
      </c>
      <c r="J192" s="83">
        <v>8841.4500000000007</v>
      </c>
      <c r="K192" s="83">
        <v>9369.75</v>
      </c>
      <c r="L192" s="83">
        <v>9297.75</v>
      </c>
      <c r="M192" s="83">
        <v>11041.34</v>
      </c>
      <c r="N192" s="83">
        <v>10308.869999999999</v>
      </c>
      <c r="O192" s="83">
        <v>11042.46</v>
      </c>
      <c r="P192" s="83">
        <v>9330.75</v>
      </c>
      <c r="Q192" s="83">
        <v>10398.959999999999</v>
      </c>
      <c r="R192" s="116">
        <f t="shared" si="81"/>
        <v>116118.9</v>
      </c>
      <c r="S192" s="83">
        <f t="shared" si="82"/>
        <v>329.00039200313597</v>
      </c>
      <c r="T192" s="83">
        <f t="shared" si="82"/>
        <v>326.53586828694631</v>
      </c>
      <c r="U192" s="83">
        <f t="shared" si="85"/>
        <v>407.95753798208023</v>
      </c>
      <c r="V192" s="83">
        <f t="shared" si="85"/>
        <v>362.00116867939226</v>
      </c>
      <c r="W192" s="83">
        <f t="shared" si="85"/>
        <v>344.42734709777949</v>
      </c>
      <c r="X192" s="83">
        <f t="shared" si="85"/>
        <v>365.00779119594853</v>
      </c>
      <c r="Y192" s="83">
        <f t="shared" si="85"/>
        <v>362.20296065446041</v>
      </c>
      <c r="Z192" s="83">
        <f t="shared" si="84"/>
        <v>430.12621737436695</v>
      </c>
      <c r="AA192" s="83">
        <f t="shared" si="84"/>
        <v>401.59213089209186</v>
      </c>
      <c r="AB192" s="83">
        <f t="shared" si="84"/>
        <v>430.16984807167893</v>
      </c>
      <c r="AC192" s="83">
        <f t="shared" si="84"/>
        <v>363.48850798597584</v>
      </c>
      <c r="AD192" s="83">
        <f t="shared" si="84"/>
        <v>405.10167510712887</v>
      </c>
      <c r="AE192" s="83">
        <f t="shared" si="83"/>
        <v>377.30095377758221</v>
      </c>
      <c r="AF192" s="83"/>
      <c r="AH192" s="83"/>
      <c r="AI192" s="83"/>
      <c r="BB192" s="101">
        <f t="shared" si="74"/>
        <v>116223.78580164645</v>
      </c>
      <c r="BD192" s="112">
        <f t="shared" si="76"/>
        <v>25.79</v>
      </c>
      <c r="BE192" s="136">
        <f t="shared" si="77"/>
        <v>116767.09917508614</v>
      </c>
      <c r="BF192" s="137">
        <f t="shared" si="78"/>
        <v>543.3133734396979</v>
      </c>
      <c r="BG192" s="113">
        <f t="shared" si="79"/>
        <v>4.6747175691466874E-3</v>
      </c>
    </row>
    <row r="193" spans="1:59" s="62" customFormat="1" outlineLevel="1" x14ac:dyDescent="0.25">
      <c r="A193" s="62" t="str">
        <f t="shared" si="80"/>
        <v>MURREYSCOMMERCIALCLOCK</v>
      </c>
      <c r="B193" s="81" t="s">
        <v>877</v>
      </c>
      <c r="C193" s="81" t="s">
        <v>878</v>
      </c>
      <c r="D193" s="82">
        <v>4.72</v>
      </c>
      <c r="E193" s="82">
        <v>4.72</v>
      </c>
      <c r="F193" s="83">
        <v>247.79999999999998</v>
      </c>
      <c r="G193" s="83">
        <v>405.91999999999996</v>
      </c>
      <c r="H193" s="83">
        <v>421.26</v>
      </c>
      <c r="I193" s="83">
        <v>433.14</v>
      </c>
      <c r="J193" s="83">
        <v>457.84</v>
      </c>
      <c r="K193" s="83">
        <v>470.22999999999996</v>
      </c>
      <c r="L193" s="83">
        <v>480.26</v>
      </c>
      <c r="M193" s="83">
        <v>506.81</v>
      </c>
      <c r="N193" s="83">
        <v>509.76</v>
      </c>
      <c r="O193" s="83">
        <v>490.88</v>
      </c>
      <c r="P193" s="83">
        <v>522.74</v>
      </c>
      <c r="Q193" s="83">
        <v>519.20000000000005</v>
      </c>
      <c r="R193" s="116">
        <f t="shared" si="81"/>
        <v>5465.8399999999992</v>
      </c>
      <c r="S193" s="83">
        <f t="shared" si="82"/>
        <v>52.5</v>
      </c>
      <c r="T193" s="83">
        <f t="shared" si="82"/>
        <v>86</v>
      </c>
      <c r="U193" s="83">
        <f t="shared" si="85"/>
        <v>89.25</v>
      </c>
      <c r="V193" s="83">
        <f t="shared" si="85"/>
        <v>91.766949152542381</v>
      </c>
      <c r="W193" s="83">
        <f t="shared" si="85"/>
        <v>97</v>
      </c>
      <c r="X193" s="83">
        <f t="shared" si="85"/>
        <v>99.625</v>
      </c>
      <c r="Y193" s="83">
        <f t="shared" si="85"/>
        <v>101.75</v>
      </c>
      <c r="Z193" s="83">
        <f t="shared" si="84"/>
        <v>107.375</v>
      </c>
      <c r="AA193" s="83">
        <f t="shared" si="84"/>
        <v>108</v>
      </c>
      <c r="AB193" s="83">
        <f t="shared" si="84"/>
        <v>104</v>
      </c>
      <c r="AC193" s="83">
        <f t="shared" si="84"/>
        <v>110.75000000000001</v>
      </c>
      <c r="AD193" s="83">
        <f t="shared" si="84"/>
        <v>110.00000000000001</v>
      </c>
      <c r="AE193" s="83">
        <f t="shared" si="83"/>
        <v>96.501412429378533</v>
      </c>
      <c r="AF193" s="83"/>
      <c r="AH193" s="83"/>
      <c r="AI193" s="83"/>
      <c r="BB193" s="101">
        <f t="shared" si="74"/>
        <v>5465.84</v>
      </c>
      <c r="BD193" s="112">
        <f t="shared" si="76"/>
        <v>4.74</v>
      </c>
      <c r="BE193" s="136">
        <f t="shared" si="77"/>
        <v>5489.0003389830508</v>
      </c>
      <c r="BF193" s="137">
        <f t="shared" si="78"/>
        <v>23.160338983050679</v>
      </c>
      <c r="BG193" s="113">
        <f t="shared" si="79"/>
        <v>4.2372881355931891E-3</v>
      </c>
    </row>
    <row r="194" spans="1:59" s="62" customFormat="1" outlineLevel="1" x14ac:dyDescent="0.25">
      <c r="A194" s="62" t="str">
        <f t="shared" si="80"/>
        <v>MURREYSCOMMERCIALCROLL</v>
      </c>
      <c r="B194" s="81" t="s">
        <v>879</v>
      </c>
      <c r="C194" s="81" t="s">
        <v>880</v>
      </c>
      <c r="D194" s="82">
        <v>16.93</v>
      </c>
      <c r="E194" s="82">
        <v>16.93</v>
      </c>
      <c r="F194" s="83">
        <v>1945.94</v>
      </c>
      <c r="G194" s="83">
        <v>1945.94</v>
      </c>
      <c r="H194" s="83">
        <v>1964.98</v>
      </c>
      <c r="I194" s="83">
        <v>1776.64</v>
      </c>
      <c r="J194" s="83">
        <v>1789.33</v>
      </c>
      <c r="K194" s="83">
        <v>1793.5700000000002</v>
      </c>
      <c r="L194" s="83">
        <v>1793.5700000000002</v>
      </c>
      <c r="M194" s="83">
        <v>1810.26</v>
      </c>
      <c r="N194" s="83">
        <v>1776.3200000000002</v>
      </c>
      <c r="O194" s="83">
        <v>1763.5900000000001</v>
      </c>
      <c r="P194" s="83">
        <v>1763.5900000000001</v>
      </c>
      <c r="Q194" s="83">
        <v>1797.53</v>
      </c>
      <c r="R194" s="116">
        <f t="shared" si="81"/>
        <v>21921.260000000002</v>
      </c>
      <c r="S194" s="83">
        <f t="shared" si="82"/>
        <v>114.94034258712345</v>
      </c>
      <c r="T194" s="83">
        <f t="shared" si="82"/>
        <v>114.94034258712345</v>
      </c>
      <c r="U194" s="83">
        <f t="shared" si="85"/>
        <v>116.06497341996456</v>
      </c>
      <c r="V194" s="83">
        <f t="shared" si="85"/>
        <v>104.94034258712345</v>
      </c>
      <c r="W194" s="83">
        <f t="shared" si="85"/>
        <v>105.68989958653277</v>
      </c>
      <c r="X194" s="83">
        <f t="shared" si="85"/>
        <v>105.94034258712347</v>
      </c>
      <c r="Y194" s="83">
        <f t="shared" si="85"/>
        <v>105.94034258712347</v>
      </c>
      <c r="Z194" s="83">
        <f t="shared" si="84"/>
        <v>106.92616656822209</v>
      </c>
      <c r="AA194" s="83">
        <f t="shared" si="84"/>
        <v>104.92144122858832</v>
      </c>
      <c r="AB194" s="83">
        <f t="shared" si="84"/>
        <v>104.1695215593621</v>
      </c>
      <c r="AC194" s="83">
        <f t="shared" si="84"/>
        <v>104.1695215593621</v>
      </c>
      <c r="AD194" s="83">
        <f t="shared" si="84"/>
        <v>106.17424689899586</v>
      </c>
      <c r="AE194" s="83">
        <f t="shared" si="83"/>
        <v>107.90145697972041</v>
      </c>
      <c r="AF194" s="83"/>
      <c r="AH194" s="83"/>
      <c r="AI194" s="83"/>
      <c r="BB194" s="101">
        <f t="shared" si="74"/>
        <v>21921.26</v>
      </c>
      <c r="BD194" s="112">
        <f t="shared" si="76"/>
        <v>17.010000000000002</v>
      </c>
      <c r="BE194" s="136">
        <f t="shared" si="77"/>
        <v>22024.84539870053</v>
      </c>
      <c r="BF194" s="137">
        <f t="shared" si="78"/>
        <v>103.5853987005321</v>
      </c>
      <c r="BG194" s="113">
        <f t="shared" si="79"/>
        <v>4.7253396337862017E-3</v>
      </c>
    </row>
    <row r="195" spans="1:59" s="62" customFormat="1" outlineLevel="1" x14ac:dyDescent="0.25">
      <c r="A195" s="62" t="str">
        <f t="shared" si="80"/>
        <v>MURREYSCOMMERCIALCGATE</v>
      </c>
      <c r="B195" s="81" t="s">
        <v>881</v>
      </c>
      <c r="C195" s="81" t="s">
        <v>882</v>
      </c>
      <c r="D195" s="82">
        <v>0</v>
      </c>
      <c r="E195" s="82">
        <v>0</v>
      </c>
      <c r="F195" s="83">
        <v>8.7200000000000006</v>
      </c>
      <c r="G195" s="83">
        <v>0</v>
      </c>
      <c r="H195" s="83">
        <v>0</v>
      </c>
      <c r="I195" s="83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4.72</v>
      </c>
      <c r="Q195" s="83">
        <v>4.72</v>
      </c>
      <c r="R195" s="116">
        <f t="shared" si="81"/>
        <v>18.16</v>
      </c>
      <c r="S195" s="83">
        <f t="shared" si="82"/>
        <v>0</v>
      </c>
      <c r="T195" s="83">
        <f t="shared" si="82"/>
        <v>0</v>
      </c>
      <c r="U195" s="83">
        <f t="shared" si="85"/>
        <v>0</v>
      </c>
      <c r="V195" s="83">
        <f t="shared" si="85"/>
        <v>0</v>
      </c>
      <c r="W195" s="83">
        <f t="shared" si="85"/>
        <v>0</v>
      </c>
      <c r="X195" s="83">
        <f t="shared" si="85"/>
        <v>0</v>
      </c>
      <c r="Y195" s="83">
        <f t="shared" si="85"/>
        <v>0</v>
      </c>
      <c r="Z195" s="83">
        <f t="shared" si="84"/>
        <v>0</v>
      </c>
      <c r="AA195" s="83">
        <f t="shared" si="84"/>
        <v>0</v>
      </c>
      <c r="AB195" s="83">
        <f t="shared" si="84"/>
        <v>0</v>
      </c>
      <c r="AC195" s="83">
        <f t="shared" si="84"/>
        <v>0</v>
      </c>
      <c r="AD195" s="83">
        <f t="shared" si="84"/>
        <v>0</v>
      </c>
      <c r="AE195" s="83">
        <f t="shared" si="83"/>
        <v>0</v>
      </c>
      <c r="AF195" s="83"/>
      <c r="AH195" s="83"/>
      <c r="AI195" s="83"/>
      <c r="BB195" s="101">
        <f t="shared" si="74"/>
        <v>0</v>
      </c>
      <c r="BD195" s="112">
        <f t="shared" si="76"/>
        <v>0</v>
      </c>
      <c r="BE195" s="136">
        <f t="shared" si="77"/>
        <v>0</v>
      </c>
      <c r="BF195" s="137">
        <f t="shared" si="78"/>
        <v>0</v>
      </c>
      <c r="BG195" s="113">
        <f t="shared" si="79"/>
        <v>0</v>
      </c>
    </row>
    <row r="196" spans="1:59" s="62" customFormat="1" outlineLevel="1" x14ac:dyDescent="0.25">
      <c r="A196" s="62" t="str">
        <f t="shared" si="80"/>
        <v>MURREYSCOMMERCIALCTDEL</v>
      </c>
      <c r="B196" s="81" t="s">
        <v>883</v>
      </c>
      <c r="C196" s="81" t="s">
        <v>884</v>
      </c>
      <c r="D196" s="82">
        <v>42.51</v>
      </c>
      <c r="E196" s="82">
        <v>42.51</v>
      </c>
      <c r="F196" s="83">
        <v>935.22</v>
      </c>
      <c r="G196" s="83">
        <v>807.68999999999994</v>
      </c>
      <c r="H196" s="83">
        <v>1190.28</v>
      </c>
      <c r="I196" s="83">
        <v>2020.48</v>
      </c>
      <c r="J196" s="83">
        <v>2082.9900000000002</v>
      </c>
      <c r="K196" s="83">
        <v>1317.81</v>
      </c>
      <c r="L196" s="83">
        <v>1275.3</v>
      </c>
      <c r="M196" s="83">
        <v>1619.94</v>
      </c>
      <c r="N196" s="83">
        <v>1278.9000000000001</v>
      </c>
      <c r="O196" s="83">
        <v>852.6</v>
      </c>
      <c r="P196" s="83">
        <v>639.45000000000005</v>
      </c>
      <c r="Q196" s="83">
        <v>980.49</v>
      </c>
      <c r="R196" s="116">
        <f t="shared" si="81"/>
        <v>15001.15</v>
      </c>
      <c r="S196" s="83">
        <f t="shared" si="82"/>
        <v>22</v>
      </c>
      <c r="T196" s="83">
        <f t="shared" si="82"/>
        <v>19</v>
      </c>
      <c r="U196" s="83">
        <f t="shared" si="85"/>
        <v>28</v>
      </c>
      <c r="V196" s="83">
        <f t="shared" si="85"/>
        <v>47.529522465302286</v>
      </c>
      <c r="W196" s="83">
        <f t="shared" si="85"/>
        <v>49.000000000000007</v>
      </c>
      <c r="X196" s="83">
        <f t="shared" si="85"/>
        <v>31</v>
      </c>
      <c r="Y196" s="83">
        <f t="shared" si="85"/>
        <v>30</v>
      </c>
      <c r="Z196" s="83">
        <f t="shared" si="84"/>
        <v>38.107268877911082</v>
      </c>
      <c r="AA196" s="83">
        <f t="shared" si="84"/>
        <v>30.084685956245593</v>
      </c>
      <c r="AB196" s="83">
        <f t="shared" si="84"/>
        <v>20.056457304163729</v>
      </c>
      <c r="AC196" s="83">
        <f t="shared" si="84"/>
        <v>15.042342978122797</v>
      </c>
      <c r="AD196" s="83">
        <f t="shared" si="84"/>
        <v>23.064925899788285</v>
      </c>
      <c r="AE196" s="83">
        <f t="shared" si="83"/>
        <v>29.407100290127818</v>
      </c>
      <c r="AF196" s="83"/>
      <c r="AH196" s="83"/>
      <c r="AI196" s="83"/>
      <c r="BB196" s="101">
        <f t="shared" si="74"/>
        <v>15001.150000000001</v>
      </c>
      <c r="BD196" s="112">
        <f t="shared" si="76"/>
        <v>42.71</v>
      </c>
      <c r="BE196" s="136">
        <f t="shared" si="77"/>
        <v>15071.727040696311</v>
      </c>
      <c r="BF196" s="137">
        <f t="shared" si="78"/>
        <v>70.577040696309268</v>
      </c>
      <c r="BG196" s="113">
        <f t="shared" si="79"/>
        <v>4.7047753469773492E-3</v>
      </c>
    </row>
    <row r="197" spans="1:59" s="62" customFormat="1" outlineLevel="1" x14ac:dyDescent="0.25">
      <c r="A197" s="62" t="str">
        <f t="shared" si="80"/>
        <v>MURREYSCOMMERCIALCTRIP</v>
      </c>
      <c r="B197" s="81" t="s">
        <v>885</v>
      </c>
      <c r="C197" s="81" t="s">
        <v>886</v>
      </c>
      <c r="D197" s="82">
        <v>16.75</v>
      </c>
      <c r="E197" s="82">
        <v>16.75</v>
      </c>
      <c r="F197" s="83">
        <v>167.5</v>
      </c>
      <c r="G197" s="83">
        <v>217.75</v>
      </c>
      <c r="H197" s="83">
        <v>234.5</v>
      </c>
      <c r="I197" s="83">
        <v>134</v>
      </c>
      <c r="J197" s="83">
        <v>251.25</v>
      </c>
      <c r="K197" s="83">
        <v>201</v>
      </c>
      <c r="L197" s="83">
        <v>251.25</v>
      </c>
      <c r="M197" s="83">
        <v>201.60000000000002</v>
      </c>
      <c r="N197" s="83">
        <v>184.8</v>
      </c>
      <c r="O197" s="83">
        <v>151.19999999999999</v>
      </c>
      <c r="P197" s="83">
        <v>386.4</v>
      </c>
      <c r="Q197" s="83">
        <v>319.2</v>
      </c>
      <c r="R197" s="116">
        <f t="shared" si="81"/>
        <v>2700.45</v>
      </c>
      <c r="S197" s="83">
        <f t="shared" si="82"/>
        <v>10</v>
      </c>
      <c r="T197" s="83">
        <f t="shared" si="82"/>
        <v>13</v>
      </c>
      <c r="U197" s="83">
        <f t="shared" si="85"/>
        <v>14</v>
      </c>
      <c r="V197" s="83">
        <f t="shared" si="85"/>
        <v>8</v>
      </c>
      <c r="W197" s="83">
        <f t="shared" si="85"/>
        <v>15</v>
      </c>
      <c r="X197" s="83">
        <f t="shared" si="85"/>
        <v>12</v>
      </c>
      <c r="Y197" s="83">
        <f t="shared" si="85"/>
        <v>15</v>
      </c>
      <c r="Z197" s="83">
        <f t="shared" si="84"/>
        <v>12.03582089552239</v>
      </c>
      <c r="AA197" s="83">
        <f t="shared" si="84"/>
        <v>11.032835820895523</v>
      </c>
      <c r="AB197" s="83">
        <f t="shared" si="84"/>
        <v>9.0268656716417901</v>
      </c>
      <c r="AC197" s="83">
        <f t="shared" si="84"/>
        <v>23.068656716417909</v>
      </c>
      <c r="AD197" s="83">
        <f t="shared" si="84"/>
        <v>19.056716417910447</v>
      </c>
      <c r="AE197" s="83">
        <f t="shared" si="83"/>
        <v>13.435074626865672</v>
      </c>
      <c r="AF197" s="83"/>
      <c r="AH197" s="83"/>
      <c r="AI197" s="83"/>
      <c r="BB197" s="101">
        <f t="shared" si="74"/>
        <v>2700.4500000000003</v>
      </c>
      <c r="BD197" s="112">
        <f t="shared" si="76"/>
        <v>16.829999999999998</v>
      </c>
      <c r="BE197" s="136">
        <f t="shared" si="77"/>
        <v>2713.3476716417908</v>
      </c>
      <c r="BF197" s="137">
        <f t="shared" si="78"/>
        <v>12.897671641790566</v>
      </c>
      <c r="BG197" s="113">
        <f t="shared" si="79"/>
        <v>4.7761194029848969E-3</v>
      </c>
    </row>
    <row r="198" spans="1:59" s="62" customFormat="1" outlineLevel="1" x14ac:dyDescent="0.25">
      <c r="A198" s="62" t="str">
        <f t="shared" si="80"/>
        <v>MURREYSCOMMERCIALCTRIPCAN</v>
      </c>
      <c r="B198" s="81" t="s">
        <v>887</v>
      </c>
      <c r="C198" s="81" t="s">
        <v>888</v>
      </c>
      <c r="D198" s="82">
        <v>8.9700000000000006</v>
      </c>
      <c r="E198" s="82">
        <v>8.9700000000000006</v>
      </c>
      <c r="F198" s="83">
        <v>8.9700000000000006</v>
      </c>
      <c r="G198" s="83">
        <v>17.940000000000001</v>
      </c>
      <c r="H198" s="83">
        <v>0</v>
      </c>
      <c r="I198" s="83">
        <v>0</v>
      </c>
      <c r="J198" s="83">
        <v>0</v>
      </c>
      <c r="K198" s="83">
        <v>0</v>
      </c>
      <c r="L198" s="83">
        <v>0</v>
      </c>
      <c r="M198" s="83">
        <v>0</v>
      </c>
      <c r="N198" s="83">
        <v>17.98</v>
      </c>
      <c r="O198" s="83">
        <v>0</v>
      </c>
      <c r="P198" s="83">
        <v>-8.99</v>
      </c>
      <c r="Q198" s="83">
        <v>0</v>
      </c>
      <c r="R198" s="116">
        <f t="shared" si="81"/>
        <v>35.9</v>
      </c>
      <c r="S198" s="83">
        <f t="shared" si="82"/>
        <v>1</v>
      </c>
      <c r="T198" s="83">
        <f t="shared" si="82"/>
        <v>2</v>
      </c>
      <c r="U198" s="83">
        <f t="shared" si="85"/>
        <v>0</v>
      </c>
      <c r="V198" s="83">
        <f t="shared" si="85"/>
        <v>0</v>
      </c>
      <c r="W198" s="83">
        <f t="shared" si="85"/>
        <v>0</v>
      </c>
      <c r="X198" s="83">
        <f t="shared" si="85"/>
        <v>0</v>
      </c>
      <c r="Y198" s="83">
        <f t="shared" si="85"/>
        <v>0</v>
      </c>
      <c r="Z198" s="83">
        <f t="shared" si="84"/>
        <v>0</v>
      </c>
      <c r="AA198" s="83">
        <f t="shared" si="84"/>
        <v>2.0044593088071347</v>
      </c>
      <c r="AB198" s="83">
        <f t="shared" si="84"/>
        <v>0</v>
      </c>
      <c r="AC198" s="83">
        <f t="shared" si="84"/>
        <v>-1.0022296544035674</v>
      </c>
      <c r="AD198" s="83">
        <f t="shared" si="84"/>
        <v>0</v>
      </c>
      <c r="AE198" s="83">
        <f t="shared" si="83"/>
        <v>0.33351913786696397</v>
      </c>
      <c r="AF198" s="83"/>
      <c r="AH198" s="83"/>
      <c r="AI198" s="83"/>
      <c r="BB198" s="101">
        <f t="shared" si="74"/>
        <v>35.900000000000006</v>
      </c>
      <c r="BD198" s="112">
        <f t="shared" si="76"/>
        <v>9.01</v>
      </c>
      <c r="BE198" s="136">
        <f t="shared" si="77"/>
        <v>36.060089186176143</v>
      </c>
      <c r="BF198" s="137">
        <f t="shared" si="78"/>
        <v>0.16008918617613688</v>
      </c>
      <c r="BG198" s="113">
        <f t="shared" si="79"/>
        <v>4.4593088071347309E-3</v>
      </c>
    </row>
    <row r="199" spans="1:59" s="62" customFormat="1" outlineLevel="1" x14ac:dyDescent="0.25">
      <c r="A199" s="62" t="str">
        <f t="shared" si="80"/>
        <v>MURREYSCOMMERCIALCUNLOCK</v>
      </c>
      <c r="B199" s="81" t="s">
        <v>889</v>
      </c>
      <c r="C199" s="81" t="s">
        <v>890</v>
      </c>
      <c r="D199" s="82">
        <v>4.72</v>
      </c>
      <c r="E199" s="82">
        <v>0</v>
      </c>
      <c r="F199" s="83">
        <v>56.64</v>
      </c>
      <c r="G199" s="83">
        <v>0</v>
      </c>
      <c r="H199" s="83">
        <v>0</v>
      </c>
      <c r="I199" s="83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  <c r="Q199" s="83">
        <v>0</v>
      </c>
      <c r="R199" s="116">
        <f t="shared" si="81"/>
        <v>56.64</v>
      </c>
      <c r="S199" s="83">
        <f t="shared" si="82"/>
        <v>12</v>
      </c>
      <c r="T199" s="83">
        <f t="shared" si="82"/>
        <v>0</v>
      </c>
      <c r="U199" s="83">
        <f t="shared" si="85"/>
        <v>0</v>
      </c>
      <c r="V199" s="83">
        <f t="shared" si="85"/>
        <v>0</v>
      </c>
      <c r="W199" s="83">
        <f t="shared" si="85"/>
        <v>0</v>
      </c>
      <c r="X199" s="83">
        <f t="shared" si="85"/>
        <v>0</v>
      </c>
      <c r="Y199" s="83">
        <f t="shared" si="85"/>
        <v>0</v>
      </c>
      <c r="Z199" s="83">
        <f t="shared" si="84"/>
        <v>0</v>
      </c>
      <c r="AA199" s="83">
        <f t="shared" si="84"/>
        <v>0</v>
      </c>
      <c r="AB199" s="83">
        <f t="shared" si="84"/>
        <v>0</v>
      </c>
      <c r="AC199" s="83">
        <f t="shared" si="84"/>
        <v>0</v>
      </c>
      <c r="AD199" s="83">
        <f t="shared" si="84"/>
        <v>0</v>
      </c>
      <c r="AE199" s="83">
        <f t="shared" si="83"/>
        <v>1</v>
      </c>
      <c r="AF199" s="83"/>
      <c r="AH199" s="83"/>
      <c r="AI199" s="83"/>
      <c r="BB199" s="101">
        <f t="shared" si="74"/>
        <v>0</v>
      </c>
      <c r="BD199" s="112">
        <f t="shared" si="76"/>
        <v>0</v>
      </c>
      <c r="BE199" s="136">
        <f t="shared" si="77"/>
        <v>0</v>
      </c>
      <c r="BF199" s="137">
        <f t="shared" si="78"/>
        <v>0</v>
      </c>
      <c r="BG199" s="113">
        <f t="shared" si="79"/>
        <v>0</v>
      </c>
    </row>
    <row r="200" spans="1:59" s="62" customFormat="1" outlineLevel="1" x14ac:dyDescent="0.25">
      <c r="A200" s="62" t="str">
        <f t="shared" si="80"/>
        <v>MURREYSCOMMERCIALDRIVEDWAY-COMM</v>
      </c>
      <c r="B200" s="81" t="s">
        <v>891</v>
      </c>
      <c r="C200" s="81" t="s">
        <v>892</v>
      </c>
      <c r="D200" s="82">
        <f>1.16*4.33</f>
        <v>5.0228000000000002</v>
      </c>
      <c r="E200" s="82">
        <v>0</v>
      </c>
      <c r="F200" s="83">
        <v>0</v>
      </c>
      <c r="G200" s="83">
        <v>0</v>
      </c>
      <c r="H200" s="83">
        <v>0</v>
      </c>
      <c r="I200" s="83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  <c r="Q200" s="83">
        <v>0</v>
      </c>
      <c r="R200" s="116">
        <f t="shared" si="81"/>
        <v>0</v>
      </c>
      <c r="S200" s="83">
        <f t="shared" si="82"/>
        <v>0</v>
      </c>
      <c r="T200" s="83">
        <f t="shared" si="82"/>
        <v>0</v>
      </c>
      <c r="U200" s="83">
        <f t="shared" si="85"/>
        <v>0</v>
      </c>
      <c r="V200" s="83">
        <f t="shared" si="85"/>
        <v>0</v>
      </c>
      <c r="W200" s="83">
        <f t="shared" si="85"/>
        <v>0</v>
      </c>
      <c r="X200" s="83">
        <f t="shared" si="85"/>
        <v>0</v>
      </c>
      <c r="Y200" s="83">
        <f t="shared" si="85"/>
        <v>0</v>
      </c>
      <c r="Z200" s="83">
        <f t="shared" si="84"/>
        <v>0</v>
      </c>
      <c r="AA200" s="83">
        <f t="shared" si="84"/>
        <v>0</v>
      </c>
      <c r="AB200" s="83">
        <f t="shared" si="84"/>
        <v>0</v>
      </c>
      <c r="AC200" s="83">
        <f t="shared" si="84"/>
        <v>0</v>
      </c>
      <c r="AD200" s="83">
        <f t="shared" si="84"/>
        <v>0</v>
      </c>
      <c r="AE200" s="83">
        <f t="shared" si="83"/>
        <v>0</v>
      </c>
      <c r="AF200" s="83"/>
      <c r="AH200" s="83"/>
      <c r="AI200" s="83"/>
      <c r="BB200" s="101">
        <f t="shared" si="74"/>
        <v>0</v>
      </c>
      <c r="BD200" s="112">
        <f t="shared" si="76"/>
        <v>0</v>
      </c>
      <c r="BE200" s="136">
        <f t="shared" si="77"/>
        <v>0</v>
      </c>
      <c r="BF200" s="137">
        <f t="shared" si="78"/>
        <v>0</v>
      </c>
      <c r="BG200" s="113">
        <f t="shared" si="79"/>
        <v>0</v>
      </c>
    </row>
    <row r="201" spans="1:59" s="62" customFormat="1" outlineLevel="1" x14ac:dyDescent="0.25">
      <c r="A201" s="62" t="str">
        <f t="shared" si="80"/>
        <v>MURREYSCOMMERCIALDRIVEPVT-COMM</v>
      </c>
      <c r="B201" s="81" t="s">
        <v>893</v>
      </c>
      <c r="C201" s="81" t="s">
        <v>894</v>
      </c>
      <c r="D201" s="82">
        <v>0</v>
      </c>
      <c r="E201" s="82">
        <v>0</v>
      </c>
      <c r="F201" s="83">
        <v>0</v>
      </c>
      <c r="G201" s="83">
        <v>0</v>
      </c>
      <c r="H201" s="83">
        <v>0</v>
      </c>
      <c r="I201" s="83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  <c r="Q201" s="83">
        <v>0</v>
      </c>
      <c r="R201" s="116">
        <f t="shared" si="81"/>
        <v>0</v>
      </c>
      <c r="S201" s="83">
        <f t="shared" si="82"/>
        <v>0</v>
      </c>
      <c r="T201" s="83">
        <f t="shared" si="82"/>
        <v>0</v>
      </c>
      <c r="U201" s="83">
        <f t="shared" si="85"/>
        <v>0</v>
      </c>
      <c r="V201" s="83">
        <f t="shared" si="85"/>
        <v>0</v>
      </c>
      <c r="W201" s="83">
        <f t="shared" si="85"/>
        <v>0</v>
      </c>
      <c r="X201" s="83">
        <f t="shared" si="85"/>
        <v>0</v>
      </c>
      <c r="Y201" s="83">
        <f t="shared" si="85"/>
        <v>0</v>
      </c>
      <c r="Z201" s="83">
        <f t="shared" si="84"/>
        <v>0</v>
      </c>
      <c r="AA201" s="83">
        <f t="shared" si="84"/>
        <v>0</v>
      </c>
      <c r="AB201" s="83">
        <f t="shared" si="84"/>
        <v>0</v>
      </c>
      <c r="AC201" s="83">
        <f t="shared" si="84"/>
        <v>0</v>
      </c>
      <c r="AD201" s="83">
        <f t="shared" si="84"/>
        <v>0</v>
      </c>
      <c r="AE201" s="83">
        <f t="shared" si="83"/>
        <v>0</v>
      </c>
      <c r="AF201" s="83"/>
      <c r="AH201" s="83"/>
      <c r="AI201" s="83"/>
      <c r="BB201" s="101">
        <f t="shared" si="74"/>
        <v>0</v>
      </c>
      <c r="BD201" s="112">
        <f t="shared" si="76"/>
        <v>0</v>
      </c>
      <c r="BE201" s="136">
        <f t="shared" si="77"/>
        <v>0</v>
      </c>
      <c r="BF201" s="137">
        <f t="shared" si="78"/>
        <v>0</v>
      </c>
      <c r="BG201" s="113">
        <f t="shared" si="79"/>
        <v>0</v>
      </c>
    </row>
    <row r="202" spans="1:59" s="62" customFormat="1" outlineLevel="1" x14ac:dyDescent="0.25">
      <c r="A202" s="62" t="str">
        <f t="shared" si="80"/>
        <v>MURREYSCOMMERCIALDRVNC</v>
      </c>
      <c r="B202" s="81" t="s">
        <v>895</v>
      </c>
      <c r="C202" s="81" t="s">
        <v>896</v>
      </c>
      <c r="D202" s="82">
        <v>5.0199999999999996</v>
      </c>
      <c r="E202" s="82">
        <v>5.0199999999999996</v>
      </c>
      <c r="F202" s="83">
        <v>84.1</v>
      </c>
      <c r="G202" s="83">
        <v>80.319999999999993</v>
      </c>
      <c r="H202" s="83">
        <v>80.319999999999993</v>
      </c>
      <c r="I202" s="83">
        <v>75.300000000000011</v>
      </c>
      <c r="J202" s="83">
        <v>75.300000000000011</v>
      </c>
      <c r="K202" s="83">
        <v>75.300000000000011</v>
      </c>
      <c r="L202" s="83">
        <v>75.300000000000011</v>
      </c>
      <c r="M202" s="83">
        <v>75.300000000000011</v>
      </c>
      <c r="N202" s="83">
        <v>75.300000000000011</v>
      </c>
      <c r="O202" s="83">
        <v>75.300000000000011</v>
      </c>
      <c r="P202" s="83">
        <v>75.300000000000011</v>
      </c>
      <c r="Q202" s="83">
        <v>70.28</v>
      </c>
      <c r="R202" s="116">
        <f t="shared" si="81"/>
        <v>917.41999999999985</v>
      </c>
      <c r="S202" s="83">
        <f t="shared" si="82"/>
        <v>16.752988047808767</v>
      </c>
      <c r="T202" s="83">
        <f t="shared" si="82"/>
        <v>16</v>
      </c>
      <c r="U202" s="83">
        <f t="shared" si="85"/>
        <v>16</v>
      </c>
      <c r="V202" s="83">
        <f t="shared" si="85"/>
        <v>15.000000000000004</v>
      </c>
      <c r="W202" s="83">
        <f t="shared" si="85"/>
        <v>15.000000000000004</v>
      </c>
      <c r="X202" s="83">
        <f t="shared" si="85"/>
        <v>15.000000000000004</v>
      </c>
      <c r="Y202" s="83">
        <f t="shared" si="85"/>
        <v>15.000000000000004</v>
      </c>
      <c r="Z202" s="83">
        <f t="shared" si="84"/>
        <v>15.000000000000004</v>
      </c>
      <c r="AA202" s="83">
        <f t="shared" si="84"/>
        <v>15.000000000000004</v>
      </c>
      <c r="AB202" s="83">
        <f t="shared" si="84"/>
        <v>15.000000000000004</v>
      </c>
      <c r="AC202" s="83">
        <f t="shared" si="84"/>
        <v>15.000000000000004</v>
      </c>
      <c r="AD202" s="83">
        <f t="shared" si="84"/>
        <v>14.000000000000002</v>
      </c>
      <c r="AE202" s="83">
        <f t="shared" si="83"/>
        <v>15.229415670650731</v>
      </c>
      <c r="AF202" s="83"/>
      <c r="AH202" s="83"/>
      <c r="AI202" s="83"/>
      <c r="BB202" s="101">
        <f t="shared" si="74"/>
        <v>917.42000000000007</v>
      </c>
      <c r="BD202" s="112">
        <f t="shared" si="76"/>
        <v>5.04</v>
      </c>
      <c r="BE202" s="136">
        <f t="shared" si="77"/>
        <v>921.07505976095626</v>
      </c>
      <c r="BF202" s="137">
        <f t="shared" si="78"/>
        <v>3.6550597609561919</v>
      </c>
      <c r="BG202" s="113">
        <f t="shared" si="79"/>
        <v>3.9840637450199385E-3</v>
      </c>
    </row>
    <row r="203" spans="1:59" s="62" customFormat="1" outlineLevel="1" x14ac:dyDescent="0.25">
      <c r="A203" s="62" t="str">
        <f t="shared" si="80"/>
        <v>MURREYSCOMMERCIALRESTART FEE-COM</v>
      </c>
      <c r="B203" s="81" t="s">
        <v>897</v>
      </c>
      <c r="C203" s="81" t="s">
        <v>670</v>
      </c>
      <c r="D203" s="82">
        <v>0</v>
      </c>
      <c r="E203" s="82">
        <v>11.19</v>
      </c>
      <c r="F203" s="83">
        <v>201.42</v>
      </c>
      <c r="G203" s="83">
        <v>156.66</v>
      </c>
      <c r="H203" s="83">
        <v>100.71</v>
      </c>
      <c r="I203" s="83">
        <v>0</v>
      </c>
      <c r="J203" s="83">
        <v>0</v>
      </c>
      <c r="K203" s="83">
        <v>257.37</v>
      </c>
      <c r="L203" s="83">
        <v>123.08999999999999</v>
      </c>
      <c r="M203" s="83">
        <v>201.96</v>
      </c>
      <c r="N203" s="83">
        <v>168.3</v>
      </c>
      <c r="O203" s="83">
        <v>224.4</v>
      </c>
      <c r="P203" s="83">
        <v>258.06</v>
      </c>
      <c r="Q203" s="83">
        <v>179.52</v>
      </c>
      <c r="R203" s="116">
        <f t="shared" si="81"/>
        <v>1871.49</v>
      </c>
      <c r="S203" s="83">
        <f t="shared" si="82"/>
        <v>0</v>
      </c>
      <c r="T203" s="83">
        <f t="shared" si="82"/>
        <v>0</v>
      </c>
      <c r="U203" s="83">
        <f t="shared" si="85"/>
        <v>9</v>
      </c>
      <c r="V203" s="83">
        <f t="shared" si="85"/>
        <v>0</v>
      </c>
      <c r="W203" s="83">
        <f t="shared" si="85"/>
        <v>0</v>
      </c>
      <c r="X203" s="83">
        <f t="shared" si="85"/>
        <v>23</v>
      </c>
      <c r="Y203" s="83">
        <f t="shared" si="85"/>
        <v>11</v>
      </c>
      <c r="Z203" s="83">
        <f t="shared" si="84"/>
        <v>18.048257372654156</v>
      </c>
      <c r="AA203" s="83">
        <f t="shared" si="84"/>
        <v>15.040214477211798</v>
      </c>
      <c r="AB203" s="83">
        <f t="shared" si="84"/>
        <v>20.053619302949063</v>
      </c>
      <c r="AC203" s="83">
        <f t="shared" si="84"/>
        <v>23.061662198391421</v>
      </c>
      <c r="AD203" s="83">
        <f t="shared" si="84"/>
        <v>16.042895442359249</v>
      </c>
      <c r="AE203" s="83">
        <f t="shared" si="83"/>
        <v>11.270554066130472</v>
      </c>
      <c r="AF203" s="83"/>
      <c r="AH203" s="83"/>
      <c r="AI203" s="83"/>
      <c r="BB203" s="101">
        <f t="shared" si="74"/>
        <v>1513.4099999999999</v>
      </c>
      <c r="BD203" s="112">
        <f t="shared" si="76"/>
        <v>11.24</v>
      </c>
      <c r="BE203" s="136">
        <f t="shared" si="77"/>
        <v>1520.172332439678</v>
      </c>
      <c r="BF203" s="137">
        <f t="shared" si="78"/>
        <v>6.7623324396781754</v>
      </c>
      <c r="BG203" s="113">
        <f t="shared" si="79"/>
        <v>4.4682752457550672E-3</v>
      </c>
    </row>
    <row r="204" spans="1:59" s="62" customFormat="1" outlineLevel="1" x14ac:dyDescent="0.25">
      <c r="A204" s="62" t="str">
        <f t="shared" si="80"/>
        <v>MURREYSCOMMERCIALDAMAGE</v>
      </c>
      <c r="B204" s="81" t="s">
        <v>898</v>
      </c>
      <c r="C204" s="81" t="s">
        <v>899</v>
      </c>
      <c r="D204" s="82">
        <v>0</v>
      </c>
      <c r="E204" s="82">
        <v>0</v>
      </c>
      <c r="F204" s="83">
        <v>0</v>
      </c>
      <c r="G204" s="83">
        <v>487.5</v>
      </c>
      <c r="H204" s="83">
        <v>0</v>
      </c>
      <c r="I204" s="83">
        <v>0</v>
      </c>
      <c r="J204" s="83">
        <v>0</v>
      </c>
      <c r="K204" s="83">
        <v>0</v>
      </c>
      <c r="L204" s="83">
        <v>300</v>
      </c>
      <c r="M204" s="83">
        <v>300</v>
      </c>
      <c r="N204" s="83">
        <v>0</v>
      </c>
      <c r="O204" s="83">
        <v>0</v>
      </c>
      <c r="P204" s="83">
        <v>0</v>
      </c>
      <c r="Q204" s="83">
        <v>0</v>
      </c>
      <c r="R204" s="116">
        <f t="shared" si="81"/>
        <v>1087.5</v>
      </c>
      <c r="S204" s="83">
        <f t="shared" si="82"/>
        <v>0</v>
      </c>
      <c r="T204" s="83">
        <f t="shared" si="82"/>
        <v>0</v>
      </c>
      <c r="U204" s="83">
        <f t="shared" si="85"/>
        <v>0</v>
      </c>
      <c r="V204" s="83">
        <f t="shared" si="85"/>
        <v>0</v>
      </c>
      <c r="W204" s="83">
        <f t="shared" si="85"/>
        <v>0</v>
      </c>
      <c r="X204" s="83">
        <f t="shared" si="85"/>
        <v>0</v>
      </c>
      <c r="Y204" s="83">
        <f t="shared" si="85"/>
        <v>0</v>
      </c>
      <c r="Z204" s="83">
        <f t="shared" si="84"/>
        <v>0</v>
      </c>
      <c r="AA204" s="83">
        <f t="shared" si="84"/>
        <v>0</v>
      </c>
      <c r="AB204" s="83">
        <f t="shared" si="84"/>
        <v>0</v>
      </c>
      <c r="AC204" s="83">
        <f t="shared" si="84"/>
        <v>0</v>
      </c>
      <c r="AD204" s="83">
        <f t="shared" si="84"/>
        <v>0</v>
      </c>
      <c r="AE204" s="83">
        <f t="shared" si="83"/>
        <v>0</v>
      </c>
      <c r="AF204" s="83"/>
      <c r="AH204" s="83"/>
      <c r="AI204" s="83"/>
      <c r="BB204" s="101">
        <f t="shared" si="74"/>
        <v>0</v>
      </c>
      <c r="BD204" s="112">
        <f t="shared" si="76"/>
        <v>0</v>
      </c>
      <c r="BE204" s="136">
        <f t="shared" si="77"/>
        <v>0</v>
      </c>
      <c r="BF204" s="137">
        <f t="shared" si="78"/>
        <v>0</v>
      </c>
      <c r="BG204" s="113">
        <f t="shared" si="79"/>
        <v>0</v>
      </c>
    </row>
    <row r="205" spans="1:59" s="62" customFormat="1" outlineLevel="1" x14ac:dyDescent="0.25">
      <c r="A205" s="62" t="str">
        <f t="shared" si="80"/>
        <v>MURREYSCOMMERCIALTIMEC</v>
      </c>
      <c r="B205" s="81" t="s">
        <v>900</v>
      </c>
      <c r="C205" s="81" t="s">
        <v>901</v>
      </c>
      <c r="D205" s="82">
        <v>101.11</v>
      </c>
      <c r="E205" s="82">
        <v>101.11</v>
      </c>
      <c r="F205" s="83">
        <v>3626.26</v>
      </c>
      <c r="G205" s="83">
        <v>2219.66</v>
      </c>
      <c r="H205" s="83">
        <v>585.23</v>
      </c>
      <c r="I205" s="83">
        <v>252.8</v>
      </c>
      <c r="J205" s="83">
        <v>176.96</v>
      </c>
      <c r="K205" s="83">
        <v>252.8</v>
      </c>
      <c r="L205" s="83">
        <v>126.4</v>
      </c>
      <c r="M205" s="83">
        <v>903.06</v>
      </c>
      <c r="N205" s="83">
        <v>101.4</v>
      </c>
      <c r="O205" s="83">
        <v>1064.6200000000001</v>
      </c>
      <c r="P205" s="83">
        <v>152.10000000000002</v>
      </c>
      <c r="Q205" s="83">
        <v>253.5</v>
      </c>
      <c r="R205" s="116">
        <f t="shared" si="81"/>
        <v>9714.7900000000009</v>
      </c>
      <c r="S205" s="83">
        <f t="shared" si="82"/>
        <v>35.864504005538528</v>
      </c>
      <c r="T205" s="83">
        <f t="shared" si="82"/>
        <v>21.952922559588565</v>
      </c>
      <c r="U205" s="83">
        <f t="shared" si="85"/>
        <v>5.7880526159628127</v>
      </c>
      <c r="V205" s="83">
        <f t="shared" si="85"/>
        <v>2.500247255464346</v>
      </c>
      <c r="W205" s="83">
        <f t="shared" si="85"/>
        <v>1.750173078825042</v>
      </c>
      <c r="X205" s="83">
        <f t="shared" si="85"/>
        <v>2.500247255464346</v>
      </c>
      <c r="Y205" s="83">
        <f t="shared" si="85"/>
        <v>1.250123627732173</v>
      </c>
      <c r="Z205" s="83">
        <f t="shared" si="84"/>
        <v>8.9314607852833543</v>
      </c>
      <c r="AA205" s="83">
        <f t="shared" si="84"/>
        <v>1.0028681633864109</v>
      </c>
      <c r="AB205" s="83">
        <f t="shared" si="84"/>
        <v>10.529324498071409</v>
      </c>
      <c r="AC205" s="83">
        <f t="shared" si="84"/>
        <v>1.5043022450796164</v>
      </c>
      <c r="AD205" s="83">
        <f t="shared" si="84"/>
        <v>2.5071704084660271</v>
      </c>
      <c r="AE205" s="83">
        <f t="shared" si="83"/>
        <v>8.0067830415718841</v>
      </c>
      <c r="AF205" s="83"/>
      <c r="AH205" s="83"/>
      <c r="AI205" s="83"/>
      <c r="BB205" s="101">
        <f t="shared" si="74"/>
        <v>9714.7899999999991</v>
      </c>
      <c r="BD205" s="112">
        <f t="shared" si="76"/>
        <v>101.58</v>
      </c>
      <c r="BE205" s="136">
        <f t="shared" si="77"/>
        <v>9759.9482563544643</v>
      </c>
      <c r="BF205" s="137">
        <f t="shared" si="78"/>
        <v>45.158256354465266</v>
      </c>
      <c r="BG205" s="113">
        <f t="shared" si="79"/>
        <v>4.6484027297003091E-3</v>
      </c>
    </row>
    <row r="206" spans="1:59" s="62" customFormat="1" outlineLevel="1" x14ac:dyDescent="0.25">
      <c r="B206" s="90"/>
      <c r="C206" s="81"/>
      <c r="D206" s="82"/>
      <c r="E206" s="82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117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H206" s="83"/>
      <c r="AI206" s="83"/>
      <c r="BB206" s="101"/>
    </row>
    <row r="207" spans="1:59" s="62" customFormat="1" outlineLevel="1" x14ac:dyDescent="0.25">
      <c r="B207" s="81"/>
      <c r="C207" s="85" t="s">
        <v>902</v>
      </c>
      <c r="D207" s="82"/>
      <c r="E207" s="82"/>
      <c r="F207" s="86">
        <f t="shared" ref="F207:R207" si="86">SUM(F116:F206)</f>
        <v>520178.23499999981</v>
      </c>
      <c r="G207" s="86">
        <f t="shared" si="86"/>
        <v>515871.65999999986</v>
      </c>
      <c r="H207" s="86">
        <f t="shared" si="86"/>
        <v>517028.24</v>
      </c>
      <c r="I207" s="86">
        <f t="shared" si="86"/>
        <v>485328.96999999986</v>
      </c>
      <c r="J207" s="86">
        <f t="shared" si="86"/>
        <v>484708.74999999994</v>
      </c>
      <c r="K207" s="86">
        <f t="shared" si="86"/>
        <v>510894.68999999983</v>
      </c>
      <c r="L207" s="86">
        <f t="shared" si="86"/>
        <v>510241.11000000004</v>
      </c>
      <c r="M207" s="86">
        <f t="shared" si="86"/>
        <v>524829.96</v>
      </c>
      <c r="N207" s="86">
        <f t="shared" si="86"/>
        <v>520926.03500000009</v>
      </c>
      <c r="O207" s="86">
        <f t="shared" si="86"/>
        <v>528076.46499999997</v>
      </c>
      <c r="P207" s="86">
        <f t="shared" si="86"/>
        <v>520482.65999999992</v>
      </c>
      <c r="Q207" s="86">
        <f t="shared" si="86"/>
        <v>519984.05000000022</v>
      </c>
      <c r="R207" s="86">
        <f t="shared" si="86"/>
        <v>6158550.8250000002</v>
      </c>
      <c r="S207" s="86">
        <f>+SUM(S116:S178)</f>
        <v>1816.7072171144762</v>
      </c>
      <c r="T207" s="86">
        <f t="shared" ref="T207:AE207" si="87">+SUM(T116:T178)</f>
        <v>1802.0003811916129</v>
      </c>
      <c r="U207" s="86">
        <f t="shared" si="87"/>
        <v>1814.2685715354817</v>
      </c>
      <c r="V207" s="86">
        <f t="shared" si="87"/>
        <v>1754.6272235807337</v>
      </c>
      <c r="W207" s="86">
        <f t="shared" si="87"/>
        <v>1770.2703266163005</v>
      </c>
      <c r="X207" s="86">
        <f t="shared" si="87"/>
        <v>1829.2481106960597</v>
      </c>
      <c r="Y207" s="86">
        <f t="shared" si="87"/>
        <v>1839.3007059972301</v>
      </c>
      <c r="Z207" s="86">
        <f t="shared" si="87"/>
        <v>1849.2745817090781</v>
      </c>
      <c r="AA207" s="86">
        <f t="shared" si="87"/>
        <v>1866.9038762126868</v>
      </c>
      <c r="AB207" s="86">
        <f t="shared" si="87"/>
        <v>1834.8020579833008</v>
      </c>
      <c r="AC207" s="86">
        <f t="shared" si="87"/>
        <v>1815.125804242969</v>
      </c>
      <c r="AD207" s="86">
        <f t="shared" si="87"/>
        <v>1833.0798464420591</v>
      </c>
      <c r="AE207" s="86">
        <f t="shared" si="87"/>
        <v>1818.8007252768325</v>
      </c>
      <c r="AF207" s="87"/>
      <c r="AH207" s="83"/>
      <c r="AI207" s="83"/>
      <c r="BB207" s="118">
        <f>SUM(BB115:BB206)</f>
        <v>6167375.7246300261</v>
      </c>
      <c r="BE207" s="118">
        <f>SUM(BE115:BE206)</f>
        <v>6196215.8363659075</v>
      </c>
      <c r="BF207" s="118">
        <f>SUM(BF115:BF206)</f>
        <v>28840.111735881728</v>
      </c>
      <c r="BG207" s="113">
        <f t="shared" ref="BG207" si="88">IFERROR(+BF207/BB207,0)</f>
        <v>4.6762371912426031E-3</v>
      </c>
    </row>
    <row r="208" spans="1:59" s="62" customFormat="1" outlineLevel="1" x14ac:dyDescent="0.25">
      <c r="B208" s="81"/>
      <c r="C208" s="85"/>
      <c r="D208" s="82"/>
      <c r="E208" s="82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117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H208" s="83"/>
      <c r="AI208" s="83"/>
      <c r="BB208" s="101"/>
    </row>
    <row r="209" spans="1:54" s="62" customFormat="1" outlineLevel="1" x14ac:dyDescent="0.25">
      <c r="B209" s="88" t="s">
        <v>903</v>
      </c>
      <c r="C209" s="81"/>
      <c r="D209" s="82"/>
      <c r="E209" s="82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117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H209" s="83"/>
      <c r="AI209" s="83"/>
      <c r="BB209" s="101"/>
    </row>
    <row r="210" spans="1:54" s="62" customFormat="1" outlineLevel="2" x14ac:dyDescent="0.25">
      <c r="B210" s="81" t="s">
        <v>904</v>
      </c>
      <c r="C210" s="81" t="s">
        <v>905</v>
      </c>
      <c r="D210" s="82">
        <v>0</v>
      </c>
      <c r="E210" s="82">
        <v>0</v>
      </c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116">
        <f t="shared" ref="R210:R243" si="89">+SUM(F210:Q210)</f>
        <v>0</v>
      </c>
      <c r="S210" s="83">
        <f t="shared" ref="S210:T243" si="90">+IFERROR(F210/$D210,0)</f>
        <v>0</v>
      </c>
      <c r="T210" s="83">
        <f t="shared" si="90"/>
        <v>0</v>
      </c>
      <c r="U210" s="83">
        <f t="shared" ref="U210:AD225" si="91">+IFERROR(H210/$E210,0)</f>
        <v>0</v>
      </c>
      <c r="V210" s="83">
        <f t="shared" si="91"/>
        <v>0</v>
      </c>
      <c r="W210" s="83">
        <f t="shared" si="91"/>
        <v>0</v>
      </c>
      <c r="X210" s="83">
        <f t="shared" si="91"/>
        <v>0</v>
      </c>
      <c r="Y210" s="83">
        <f t="shared" si="91"/>
        <v>0</v>
      </c>
      <c r="Z210" s="83">
        <f t="shared" si="91"/>
        <v>0</v>
      </c>
      <c r="AA210" s="83">
        <f t="shared" si="91"/>
        <v>0</v>
      </c>
      <c r="AB210" s="83">
        <f t="shared" si="91"/>
        <v>0</v>
      </c>
      <c r="AC210" s="83">
        <f t="shared" si="91"/>
        <v>0</v>
      </c>
      <c r="AD210" s="83">
        <f t="shared" si="91"/>
        <v>0</v>
      </c>
      <c r="AE210" s="83">
        <f t="shared" ref="AE210:AE243" si="92">+SUM(S210:AD210)/$AB$2</f>
        <v>0</v>
      </c>
      <c r="AF210" s="83"/>
      <c r="AH210" s="83"/>
      <c r="AI210" s="83"/>
      <c r="BB210" s="101"/>
    </row>
    <row r="211" spans="1:54" s="62" customFormat="1" outlineLevel="1" x14ac:dyDescent="0.25">
      <c r="A211" s="62" t="str">
        <f>+$A$4&amp;$A$9&amp;B211</f>
        <v>MURREYSRESIDENTIALMYDW65</v>
      </c>
      <c r="B211" s="81" t="s">
        <v>906</v>
      </c>
      <c r="C211" s="81" t="s">
        <v>907</v>
      </c>
      <c r="D211" s="82">
        <v>0</v>
      </c>
      <c r="E211" s="82">
        <v>0</v>
      </c>
      <c r="F211" s="83">
        <v>0</v>
      </c>
      <c r="G211" s="83">
        <v>0</v>
      </c>
      <c r="H211" s="83">
        <v>0</v>
      </c>
      <c r="I211" s="83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  <c r="Q211" s="83">
        <v>0</v>
      </c>
      <c r="R211" s="116">
        <f t="shared" ref="R211" si="93">+SUM(F211:Q211)</f>
        <v>0</v>
      </c>
      <c r="S211" s="83">
        <f>+IFERROR(F211/$D211,0)</f>
        <v>0</v>
      </c>
      <c r="T211" s="83">
        <f>+IFERROR(G211/$D211,0)</f>
        <v>0</v>
      </c>
      <c r="U211" s="83">
        <f t="shared" si="91"/>
        <v>0</v>
      </c>
      <c r="V211" s="83">
        <f t="shared" si="91"/>
        <v>0</v>
      </c>
      <c r="W211" s="83">
        <f t="shared" si="91"/>
        <v>0</v>
      </c>
      <c r="X211" s="83">
        <f t="shared" si="91"/>
        <v>0</v>
      </c>
      <c r="Y211" s="83">
        <f t="shared" si="91"/>
        <v>0</v>
      </c>
      <c r="Z211" s="83">
        <f t="shared" si="91"/>
        <v>0</v>
      </c>
      <c r="AA211" s="83">
        <f t="shared" si="91"/>
        <v>0</v>
      </c>
      <c r="AB211" s="83">
        <f t="shared" si="91"/>
        <v>0</v>
      </c>
      <c r="AC211" s="83">
        <f t="shared" si="91"/>
        <v>0</v>
      </c>
      <c r="AD211" s="83">
        <f t="shared" si="91"/>
        <v>0</v>
      </c>
      <c r="AE211" s="83">
        <f t="shared" si="92"/>
        <v>0</v>
      </c>
      <c r="AF211" s="83"/>
      <c r="AH211" s="83"/>
      <c r="AI211" s="83"/>
      <c r="BB211" s="101">
        <f t="shared" si="74"/>
        <v>0</v>
      </c>
    </row>
    <row r="212" spans="1:54" s="62" customFormat="1" outlineLevel="2" x14ac:dyDescent="0.25">
      <c r="B212" s="81" t="s">
        <v>908</v>
      </c>
      <c r="C212" s="81" t="s">
        <v>909</v>
      </c>
      <c r="D212" s="82">
        <v>0</v>
      </c>
      <c r="E212" s="82">
        <v>0</v>
      </c>
      <c r="F212" s="83">
        <v>0</v>
      </c>
      <c r="G212" s="83">
        <v>0</v>
      </c>
      <c r="H212" s="83">
        <v>0</v>
      </c>
      <c r="I212" s="83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  <c r="Q212" s="83">
        <v>0</v>
      </c>
      <c r="R212" s="116">
        <f t="shared" si="89"/>
        <v>0</v>
      </c>
      <c r="S212" s="83">
        <f t="shared" si="90"/>
        <v>0</v>
      </c>
      <c r="T212" s="83">
        <f t="shared" si="90"/>
        <v>0</v>
      </c>
      <c r="U212" s="83">
        <f t="shared" si="91"/>
        <v>0</v>
      </c>
      <c r="V212" s="83">
        <f t="shared" si="91"/>
        <v>0</v>
      </c>
      <c r="W212" s="83">
        <f t="shared" si="91"/>
        <v>0</v>
      </c>
      <c r="X212" s="83">
        <f t="shared" si="91"/>
        <v>0</v>
      </c>
      <c r="Y212" s="83">
        <f t="shared" si="91"/>
        <v>0</v>
      </c>
      <c r="Z212" s="83">
        <f t="shared" si="91"/>
        <v>0</v>
      </c>
      <c r="AA212" s="83">
        <f t="shared" si="91"/>
        <v>0</v>
      </c>
      <c r="AB212" s="83">
        <f t="shared" si="91"/>
        <v>0</v>
      </c>
      <c r="AC212" s="83">
        <f t="shared" si="91"/>
        <v>0</v>
      </c>
      <c r="AD212" s="83">
        <f t="shared" si="91"/>
        <v>0</v>
      </c>
      <c r="AE212" s="83">
        <f t="shared" si="92"/>
        <v>0</v>
      </c>
      <c r="AF212" s="83"/>
      <c r="AH212" s="83"/>
      <c r="AI212" s="83"/>
      <c r="BB212" s="101">
        <f t="shared" si="74"/>
        <v>0</v>
      </c>
    </row>
    <row r="213" spans="1:54" s="62" customFormat="1" outlineLevel="2" x14ac:dyDescent="0.25">
      <c r="B213" s="81" t="s">
        <v>910</v>
      </c>
      <c r="C213" s="81" t="s">
        <v>911</v>
      </c>
      <c r="D213" s="82">
        <v>0</v>
      </c>
      <c r="E213" s="82">
        <v>0</v>
      </c>
      <c r="F213" s="83">
        <v>0</v>
      </c>
      <c r="G213" s="83">
        <v>0</v>
      </c>
      <c r="H213" s="83">
        <v>0</v>
      </c>
      <c r="I213" s="83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  <c r="Q213" s="83">
        <v>0</v>
      </c>
      <c r="R213" s="116">
        <f t="shared" si="89"/>
        <v>0</v>
      </c>
      <c r="S213" s="83">
        <f t="shared" si="90"/>
        <v>0</v>
      </c>
      <c r="T213" s="83">
        <f t="shared" si="90"/>
        <v>0</v>
      </c>
      <c r="U213" s="83">
        <f t="shared" si="91"/>
        <v>0</v>
      </c>
      <c r="V213" s="83">
        <f t="shared" si="91"/>
        <v>0</v>
      </c>
      <c r="W213" s="83">
        <f t="shared" si="91"/>
        <v>0</v>
      </c>
      <c r="X213" s="83">
        <f t="shared" si="91"/>
        <v>0</v>
      </c>
      <c r="Y213" s="83">
        <f t="shared" si="91"/>
        <v>0</v>
      </c>
      <c r="Z213" s="83">
        <f t="shared" si="91"/>
        <v>0</v>
      </c>
      <c r="AA213" s="83">
        <f t="shared" si="91"/>
        <v>0</v>
      </c>
      <c r="AB213" s="83">
        <f t="shared" si="91"/>
        <v>0</v>
      </c>
      <c r="AC213" s="83">
        <f t="shared" si="91"/>
        <v>0</v>
      </c>
      <c r="AD213" s="83">
        <f t="shared" si="91"/>
        <v>0</v>
      </c>
      <c r="AE213" s="83">
        <f t="shared" si="92"/>
        <v>0</v>
      </c>
      <c r="AF213" s="83"/>
      <c r="AH213" s="83"/>
      <c r="AI213" s="83"/>
      <c r="BB213" s="101">
        <f t="shared" si="74"/>
        <v>0</v>
      </c>
    </row>
    <row r="214" spans="1:54" s="62" customFormat="1" outlineLevel="2" x14ac:dyDescent="0.25">
      <c r="B214" s="81" t="s">
        <v>912</v>
      </c>
      <c r="C214" s="81" t="s">
        <v>913</v>
      </c>
      <c r="D214" s="82">
        <v>0</v>
      </c>
      <c r="E214" s="82">
        <v>0</v>
      </c>
      <c r="F214" s="83">
        <v>0</v>
      </c>
      <c r="G214" s="83">
        <v>0</v>
      </c>
      <c r="H214" s="83">
        <v>0</v>
      </c>
      <c r="I214" s="83">
        <v>0</v>
      </c>
      <c r="J214" s="83">
        <v>0</v>
      </c>
      <c r="K214" s="83">
        <v>0</v>
      </c>
      <c r="L214" s="83">
        <v>0</v>
      </c>
      <c r="M214" s="83">
        <v>0</v>
      </c>
      <c r="N214" s="83">
        <v>0</v>
      </c>
      <c r="O214" s="83">
        <v>0</v>
      </c>
      <c r="P214" s="83">
        <v>0</v>
      </c>
      <c r="Q214" s="83">
        <v>0</v>
      </c>
      <c r="R214" s="116">
        <f t="shared" si="89"/>
        <v>0</v>
      </c>
      <c r="S214" s="83">
        <f t="shared" si="90"/>
        <v>0</v>
      </c>
      <c r="T214" s="83">
        <f t="shared" si="90"/>
        <v>0</v>
      </c>
      <c r="U214" s="83">
        <f t="shared" si="91"/>
        <v>0</v>
      </c>
      <c r="V214" s="83">
        <f t="shared" si="91"/>
        <v>0</v>
      </c>
      <c r="W214" s="83">
        <f t="shared" si="91"/>
        <v>0</v>
      </c>
      <c r="X214" s="83">
        <f t="shared" si="91"/>
        <v>0</v>
      </c>
      <c r="Y214" s="83">
        <f t="shared" si="91"/>
        <v>0</v>
      </c>
      <c r="Z214" s="83">
        <f t="shared" si="91"/>
        <v>0</v>
      </c>
      <c r="AA214" s="83">
        <f t="shared" si="91"/>
        <v>0</v>
      </c>
      <c r="AB214" s="83">
        <f t="shared" si="91"/>
        <v>0</v>
      </c>
      <c r="AC214" s="83">
        <f t="shared" si="91"/>
        <v>0</v>
      </c>
      <c r="AD214" s="83">
        <f t="shared" si="91"/>
        <v>0</v>
      </c>
      <c r="AE214" s="83">
        <f t="shared" si="92"/>
        <v>0</v>
      </c>
      <c r="AF214" s="83"/>
      <c r="AH214" s="83"/>
      <c r="AI214" s="83"/>
      <c r="BB214" s="101">
        <f t="shared" si="74"/>
        <v>0</v>
      </c>
    </row>
    <row r="215" spans="1:54" s="62" customFormat="1" outlineLevel="2" x14ac:dyDescent="0.25">
      <c r="B215" s="81" t="s">
        <v>914</v>
      </c>
      <c r="C215" s="81" t="s">
        <v>915</v>
      </c>
      <c r="D215" s="82">
        <v>0</v>
      </c>
      <c r="E215" s="82">
        <v>0</v>
      </c>
      <c r="F215" s="83">
        <v>0</v>
      </c>
      <c r="G215" s="83">
        <v>0</v>
      </c>
      <c r="H215" s="83">
        <v>0</v>
      </c>
      <c r="I215" s="83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  <c r="Q215" s="83">
        <v>0</v>
      </c>
      <c r="R215" s="116">
        <f t="shared" si="89"/>
        <v>0</v>
      </c>
      <c r="S215" s="83">
        <f t="shared" si="90"/>
        <v>0</v>
      </c>
      <c r="T215" s="83">
        <f t="shared" si="90"/>
        <v>0</v>
      </c>
      <c r="U215" s="83">
        <f t="shared" si="91"/>
        <v>0</v>
      </c>
      <c r="V215" s="83">
        <f t="shared" si="91"/>
        <v>0</v>
      </c>
      <c r="W215" s="83">
        <f t="shared" si="91"/>
        <v>0</v>
      </c>
      <c r="X215" s="83">
        <f t="shared" si="91"/>
        <v>0</v>
      </c>
      <c r="Y215" s="83">
        <f t="shared" si="91"/>
        <v>0</v>
      </c>
      <c r="Z215" s="83">
        <f t="shared" si="91"/>
        <v>0</v>
      </c>
      <c r="AA215" s="83">
        <f t="shared" si="91"/>
        <v>0</v>
      </c>
      <c r="AB215" s="83">
        <f t="shared" si="91"/>
        <v>0</v>
      </c>
      <c r="AC215" s="83">
        <f t="shared" si="91"/>
        <v>0</v>
      </c>
      <c r="AD215" s="83">
        <f t="shared" si="91"/>
        <v>0</v>
      </c>
      <c r="AE215" s="83">
        <f t="shared" si="92"/>
        <v>0</v>
      </c>
      <c r="AF215" s="83"/>
      <c r="AH215" s="83"/>
      <c r="AI215" s="83"/>
      <c r="BB215" s="101">
        <f t="shared" si="74"/>
        <v>0</v>
      </c>
    </row>
    <row r="216" spans="1:54" s="62" customFormat="1" outlineLevel="2" x14ac:dyDescent="0.25">
      <c r="B216" s="81" t="s">
        <v>916</v>
      </c>
      <c r="C216" s="81" t="s">
        <v>917</v>
      </c>
      <c r="D216" s="82">
        <v>0</v>
      </c>
      <c r="E216" s="82">
        <v>0</v>
      </c>
      <c r="F216" s="83">
        <v>0</v>
      </c>
      <c r="G216" s="83">
        <v>0</v>
      </c>
      <c r="H216" s="83">
        <v>0</v>
      </c>
      <c r="I216" s="83">
        <v>0</v>
      </c>
      <c r="J216" s="83">
        <v>0</v>
      </c>
      <c r="K216" s="83">
        <v>0</v>
      </c>
      <c r="L216" s="83">
        <v>0</v>
      </c>
      <c r="M216" s="83">
        <v>0</v>
      </c>
      <c r="N216" s="83">
        <v>0</v>
      </c>
      <c r="O216" s="83">
        <v>0</v>
      </c>
      <c r="P216" s="83">
        <v>0</v>
      </c>
      <c r="Q216" s="83">
        <v>0</v>
      </c>
      <c r="R216" s="116">
        <f t="shared" si="89"/>
        <v>0</v>
      </c>
      <c r="S216" s="83">
        <f t="shared" si="90"/>
        <v>0</v>
      </c>
      <c r="T216" s="83">
        <f t="shared" si="90"/>
        <v>0</v>
      </c>
      <c r="U216" s="83">
        <f t="shared" si="91"/>
        <v>0</v>
      </c>
      <c r="V216" s="83">
        <f t="shared" si="91"/>
        <v>0</v>
      </c>
      <c r="W216" s="83">
        <f t="shared" si="91"/>
        <v>0</v>
      </c>
      <c r="X216" s="83">
        <f t="shared" si="91"/>
        <v>0</v>
      </c>
      <c r="Y216" s="83">
        <f t="shared" si="91"/>
        <v>0</v>
      </c>
      <c r="Z216" s="83">
        <f t="shared" si="91"/>
        <v>0</v>
      </c>
      <c r="AA216" s="83">
        <f t="shared" si="91"/>
        <v>0</v>
      </c>
      <c r="AB216" s="83">
        <f t="shared" si="91"/>
        <v>0</v>
      </c>
      <c r="AC216" s="83">
        <f t="shared" si="91"/>
        <v>0</v>
      </c>
      <c r="AD216" s="83">
        <f t="shared" si="91"/>
        <v>0</v>
      </c>
      <c r="AE216" s="83">
        <f t="shared" si="92"/>
        <v>0</v>
      </c>
      <c r="AF216" s="83"/>
      <c r="AH216" s="83"/>
      <c r="AI216" s="83"/>
      <c r="BB216" s="101">
        <f t="shared" si="74"/>
        <v>0</v>
      </c>
    </row>
    <row r="217" spans="1:54" s="62" customFormat="1" outlineLevel="2" x14ac:dyDescent="0.25">
      <c r="B217" s="81" t="s">
        <v>918</v>
      </c>
      <c r="C217" s="81" t="s">
        <v>919</v>
      </c>
      <c r="D217" s="82">
        <v>0</v>
      </c>
      <c r="E217" s="82">
        <v>0</v>
      </c>
      <c r="F217" s="83">
        <v>0</v>
      </c>
      <c r="G217" s="83">
        <v>0</v>
      </c>
      <c r="H217" s="83">
        <v>0</v>
      </c>
      <c r="I217" s="83">
        <v>0</v>
      </c>
      <c r="J217" s="83">
        <v>0</v>
      </c>
      <c r="K217" s="83">
        <v>0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  <c r="Q217" s="83">
        <v>0</v>
      </c>
      <c r="R217" s="116">
        <f t="shared" si="89"/>
        <v>0</v>
      </c>
      <c r="S217" s="83">
        <f t="shared" si="90"/>
        <v>0</v>
      </c>
      <c r="T217" s="83">
        <f t="shared" si="90"/>
        <v>0</v>
      </c>
      <c r="U217" s="83">
        <f t="shared" si="91"/>
        <v>0</v>
      </c>
      <c r="V217" s="83">
        <f t="shared" si="91"/>
        <v>0</v>
      </c>
      <c r="W217" s="83">
        <f t="shared" si="91"/>
        <v>0</v>
      </c>
      <c r="X217" s="83">
        <f t="shared" si="91"/>
        <v>0</v>
      </c>
      <c r="Y217" s="83">
        <f t="shared" si="91"/>
        <v>0</v>
      </c>
      <c r="Z217" s="83">
        <f t="shared" si="91"/>
        <v>0</v>
      </c>
      <c r="AA217" s="83">
        <f t="shared" si="91"/>
        <v>0</v>
      </c>
      <c r="AB217" s="83">
        <f t="shared" si="91"/>
        <v>0</v>
      </c>
      <c r="AC217" s="83">
        <f t="shared" si="91"/>
        <v>0</v>
      </c>
      <c r="AD217" s="83">
        <f t="shared" si="91"/>
        <v>0</v>
      </c>
      <c r="AE217" s="83">
        <f t="shared" si="92"/>
        <v>0</v>
      </c>
      <c r="AF217" s="83"/>
      <c r="AH217" s="83"/>
      <c r="AI217" s="83"/>
      <c r="BB217" s="101">
        <f t="shared" si="74"/>
        <v>0</v>
      </c>
    </row>
    <row r="218" spans="1:54" s="62" customFormat="1" outlineLevel="2" x14ac:dyDescent="0.25">
      <c r="B218" s="81" t="s">
        <v>920</v>
      </c>
      <c r="C218" s="81" t="s">
        <v>921</v>
      </c>
      <c r="D218" s="82">
        <v>0</v>
      </c>
      <c r="E218" s="82">
        <v>0</v>
      </c>
      <c r="F218" s="83">
        <v>0</v>
      </c>
      <c r="G218" s="83">
        <v>0</v>
      </c>
      <c r="H218" s="83">
        <v>0</v>
      </c>
      <c r="I218" s="83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  <c r="Q218" s="83">
        <v>0</v>
      </c>
      <c r="R218" s="116">
        <f t="shared" si="89"/>
        <v>0</v>
      </c>
      <c r="S218" s="83">
        <f t="shared" si="90"/>
        <v>0</v>
      </c>
      <c r="T218" s="83">
        <f t="shared" si="90"/>
        <v>0</v>
      </c>
      <c r="U218" s="83">
        <f t="shared" si="91"/>
        <v>0</v>
      </c>
      <c r="V218" s="83">
        <f t="shared" si="91"/>
        <v>0</v>
      </c>
      <c r="W218" s="83">
        <f t="shared" si="91"/>
        <v>0</v>
      </c>
      <c r="X218" s="83">
        <f t="shared" si="91"/>
        <v>0</v>
      </c>
      <c r="Y218" s="83">
        <f t="shared" si="91"/>
        <v>0</v>
      </c>
      <c r="Z218" s="83">
        <f t="shared" si="91"/>
        <v>0</v>
      </c>
      <c r="AA218" s="83">
        <f t="shared" si="91"/>
        <v>0</v>
      </c>
      <c r="AB218" s="83">
        <f t="shared" si="91"/>
        <v>0</v>
      </c>
      <c r="AC218" s="83">
        <f t="shared" si="91"/>
        <v>0</v>
      </c>
      <c r="AD218" s="83">
        <f t="shared" si="91"/>
        <v>0</v>
      </c>
      <c r="AE218" s="83">
        <f t="shared" si="92"/>
        <v>0</v>
      </c>
      <c r="AF218" s="83"/>
      <c r="AH218" s="83"/>
      <c r="AI218" s="83"/>
      <c r="BB218" s="101">
        <f t="shared" si="74"/>
        <v>0</v>
      </c>
    </row>
    <row r="219" spans="1:54" s="62" customFormat="1" outlineLevel="2" x14ac:dyDescent="0.25">
      <c r="B219" s="81" t="s">
        <v>922</v>
      </c>
      <c r="C219" s="81" t="s">
        <v>923</v>
      </c>
      <c r="D219" s="82">
        <v>0</v>
      </c>
      <c r="E219" s="82">
        <v>0</v>
      </c>
      <c r="F219" s="83">
        <v>0</v>
      </c>
      <c r="G219" s="83">
        <v>0</v>
      </c>
      <c r="H219" s="83">
        <v>0</v>
      </c>
      <c r="I219" s="83">
        <v>0</v>
      </c>
      <c r="J219" s="83">
        <v>0</v>
      </c>
      <c r="K219" s="83">
        <v>0</v>
      </c>
      <c r="L219" s="83">
        <v>0</v>
      </c>
      <c r="M219" s="83">
        <v>0</v>
      </c>
      <c r="N219" s="83">
        <v>0</v>
      </c>
      <c r="O219" s="83">
        <v>0</v>
      </c>
      <c r="P219" s="83">
        <v>0</v>
      </c>
      <c r="Q219" s="83">
        <v>0</v>
      </c>
      <c r="R219" s="116">
        <f t="shared" si="89"/>
        <v>0</v>
      </c>
      <c r="S219" s="83">
        <f t="shared" si="90"/>
        <v>0</v>
      </c>
      <c r="T219" s="83">
        <f t="shared" si="90"/>
        <v>0</v>
      </c>
      <c r="U219" s="83">
        <f t="shared" si="91"/>
        <v>0</v>
      </c>
      <c r="V219" s="83">
        <f t="shared" si="91"/>
        <v>0</v>
      </c>
      <c r="W219" s="83">
        <f t="shared" si="91"/>
        <v>0</v>
      </c>
      <c r="X219" s="83">
        <f t="shared" si="91"/>
        <v>0</v>
      </c>
      <c r="Y219" s="83">
        <f t="shared" si="91"/>
        <v>0</v>
      </c>
      <c r="Z219" s="83">
        <f t="shared" si="91"/>
        <v>0</v>
      </c>
      <c r="AA219" s="83">
        <f t="shared" si="91"/>
        <v>0</v>
      </c>
      <c r="AB219" s="83">
        <f t="shared" si="91"/>
        <v>0</v>
      </c>
      <c r="AC219" s="83">
        <f t="shared" si="91"/>
        <v>0</v>
      </c>
      <c r="AD219" s="83">
        <f t="shared" si="91"/>
        <v>0</v>
      </c>
      <c r="AE219" s="83">
        <f t="shared" si="92"/>
        <v>0</v>
      </c>
      <c r="AF219" s="83"/>
      <c r="AH219" s="83"/>
      <c r="AI219" s="83"/>
      <c r="BB219" s="101">
        <f t="shared" si="74"/>
        <v>0</v>
      </c>
    </row>
    <row r="220" spans="1:54" s="62" customFormat="1" outlineLevel="2" x14ac:dyDescent="0.25">
      <c r="B220" s="81" t="s">
        <v>924</v>
      </c>
      <c r="C220" s="81" t="s">
        <v>925</v>
      </c>
      <c r="D220" s="82">
        <v>0</v>
      </c>
      <c r="E220" s="82">
        <v>0</v>
      </c>
      <c r="F220" s="83">
        <v>0</v>
      </c>
      <c r="G220" s="83">
        <v>0</v>
      </c>
      <c r="H220" s="83">
        <v>0</v>
      </c>
      <c r="I220" s="83">
        <v>0</v>
      </c>
      <c r="J220" s="83">
        <v>0</v>
      </c>
      <c r="K220" s="83">
        <v>0</v>
      </c>
      <c r="L220" s="83">
        <v>0</v>
      </c>
      <c r="M220" s="83">
        <v>0</v>
      </c>
      <c r="N220" s="83">
        <v>0</v>
      </c>
      <c r="O220" s="83">
        <v>0</v>
      </c>
      <c r="P220" s="83">
        <v>0</v>
      </c>
      <c r="Q220" s="83">
        <v>0</v>
      </c>
      <c r="R220" s="116">
        <f t="shared" si="89"/>
        <v>0</v>
      </c>
      <c r="S220" s="83">
        <f t="shared" si="90"/>
        <v>0</v>
      </c>
      <c r="T220" s="83">
        <f t="shared" si="90"/>
        <v>0</v>
      </c>
      <c r="U220" s="83">
        <f t="shared" si="91"/>
        <v>0</v>
      </c>
      <c r="V220" s="83">
        <f t="shared" si="91"/>
        <v>0</v>
      </c>
      <c r="W220" s="83">
        <f t="shared" si="91"/>
        <v>0</v>
      </c>
      <c r="X220" s="83">
        <f t="shared" si="91"/>
        <v>0</v>
      </c>
      <c r="Y220" s="83">
        <f t="shared" si="91"/>
        <v>0</v>
      </c>
      <c r="Z220" s="83">
        <f t="shared" si="91"/>
        <v>0</v>
      </c>
      <c r="AA220" s="83">
        <f t="shared" si="91"/>
        <v>0</v>
      </c>
      <c r="AB220" s="83">
        <f t="shared" si="91"/>
        <v>0</v>
      </c>
      <c r="AC220" s="83">
        <f t="shared" si="91"/>
        <v>0</v>
      </c>
      <c r="AD220" s="83">
        <f t="shared" si="91"/>
        <v>0</v>
      </c>
      <c r="AE220" s="83">
        <f t="shared" si="92"/>
        <v>0</v>
      </c>
      <c r="AF220" s="83"/>
      <c r="AH220" s="83"/>
      <c r="AI220" s="83"/>
      <c r="BB220" s="101">
        <f t="shared" si="74"/>
        <v>0</v>
      </c>
    </row>
    <row r="221" spans="1:54" s="62" customFormat="1" outlineLevel="2" x14ac:dyDescent="0.25">
      <c r="B221" s="81" t="s">
        <v>926</v>
      </c>
      <c r="C221" s="81" t="s">
        <v>927</v>
      </c>
      <c r="D221" s="82">
        <v>0</v>
      </c>
      <c r="E221" s="82">
        <v>0</v>
      </c>
      <c r="F221" s="83">
        <v>0</v>
      </c>
      <c r="G221" s="83">
        <v>0</v>
      </c>
      <c r="H221" s="83">
        <v>0</v>
      </c>
      <c r="I221" s="83">
        <v>0</v>
      </c>
      <c r="J221" s="83">
        <v>0</v>
      </c>
      <c r="K221" s="83">
        <v>0</v>
      </c>
      <c r="L221" s="83">
        <v>0</v>
      </c>
      <c r="M221" s="83">
        <v>0</v>
      </c>
      <c r="N221" s="83">
        <v>0</v>
      </c>
      <c r="O221" s="83">
        <v>0</v>
      </c>
      <c r="P221" s="83">
        <v>0</v>
      </c>
      <c r="Q221" s="83">
        <v>0</v>
      </c>
      <c r="R221" s="116">
        <f t="shared" si="89"/>
        <v>0</v>
      </c>
      <c r="S221" s="83">
        <f t="shared" si="90"/>
        <v>0</v>
      </c>
      <c r="T221" s="83">
        <f t="shared" si="90"/>
        <v>0</v>
      </c>
      <c r="U221" s="83">
        <f t="shared" si="91"/>
        <v>0</v>
      </c>
      <c r="V221" s="83">
        <f t="shared" si="91"/>
        <v>0</v>
      </c>
      <c r="W221" s="83">
        <f t="shared" si="91"/>
        <v>0</v>
      </c>
      <c r="X221" s="83">
        <f t="shared" si="91"/>
        <v>0</v>
      </c>
      <c r="Y221" s="83">
        <f t="shared" si="91"/>
        <v>0</v>
      </c>
      <c r="Z221" s="83">
        <f t="shared" si="91"/>
        <v>0</v>
      </c>
      <c r="AA221" s="83">
        <f t="shared" si="91"/>
        <v>0</v>
      </c>
      <c r="AB221" s="83">
        <f t="shared" si="91"/>
        <v>0</v>
      </c>
      <c r="AC221" s="83">
        <f t="shared" si="91"/>
        <v>0</v>
      </c>
      <c r="AD221" s="83">
        <f t="shared" si="91"/>
        <v>0</v>
      </c>
      <c r="AE221" s="83">
        <f t="shared" si="92"/>
        <v>0</v>
      </c>
      <c r="AF221" s="83"/>
      <c r="AH221" s="83"/>
      <c r="AI221" s="83"/>
      <c r="BB221" s="101">
        <f t="shared" si="74"/>
        <v>0</v>
      </c>
    </row>
    <row r="222" spans="1:54" s="62" customFormat="1" outlineLevel="2" x14ac:dyDescent="0.25">
      <c r="B222" s="81" t="s">
        <v>928</v>
      </c>
      <c r="C222" s="81" t="s">
        <v>929</v>
      </c>
      <c r="D222" s="82">
        <v>0</v>
      </c>
      <c r="E222" s="82">
        <v>0</v>
      </c>
      <c r="F222" s="83">
        <v>0</v>
      </c>
      <c r="G222" s="83">
        <v>0</v>
      </c>
      <c r="H222" s="83">
        <v>0</v>
      </c>
      <c r="I222" s="83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  <c r="Q222" s="83">
        <v>0</v>
      </c>
      <c r="R222" s="116">
        <f t="shared" si="89"/>
        <v>0</v>
      </c>
      <c r="S222" s="83">
        <f t="shared" si="90"/>
        <v>0</v>
      </c>
      <c r="T222" s="83">
        <f t="shared" si="90"/>
        <v>0</v>
      </c>
      <c r="U222" s="83">
        <f t="shared" si="91"/>
        <v>0</v>
      </c>
      <c r="V222" s="83">
        <f t="shared" si="91"/>
        <v>0</v>
      </c>
      <c r="W222" s="83">
        <f t="shared" si="91"/>
        <v>0</v>
      </c>
      <c r="X222" s="83">
        <f t="shared" si="91"/>
        <v>0</v>
      </c>
      <c r="Y222" s="83">
        <f t="shared" si="91"/>
        <v>0</v>
      </c>
      <c r="Z222" s="83">
        <f t="shared" si="91"/>
        <v>0</v>
      </c>
      <c r="AA222" s="83">
        <f t="shared" si="91"/>
        <v>0</v>
      </c>
      <c r="AB222" s="83">
        <f t="shared" si="91"/>
        <v>0</v>
      </c>
      <c r="AC222" s="83">
        <f t="shared" si="91"/>
        <v>0</v>
      </c>
      <c r="AD222" s="83">
        <f t="shared" si="91"/>
        <v>0</v>
      </c>
      <c r="AE222" s="83">
        <f t="shared" si="92"/>
        <v>0</v>
      </c>
      <c r="AF222" s="83"/>
      <c r="AH222" s="83"/>
      <c r="AI222" s="83"/>
      <c r="BB222" s="101">
        <f t="shared" si="74"/>
        <v>0</v>
      </c>
    </row>
    <row r="223" spans="1:54" s="62" customFormat="1" outlineLevel="2" x14ac:dyDescent="0.25">
      <c r="B223" s="81" t="s">
        <v>930</v>
      </c>
      <c r="C223" s="81" t="s">
        <v>931</v>
      </c>
      <c r="D223" s="82">
        <v>0</v>
      </c>
      <c r="E223" s="82">
        <v>0</v>
      </c>
      <c r="F223" s="83">
        <v>0</v>
      </c>
      <c r="G223" s="83">
        <v>0</v>
      </c>
      <c r="H223" s="83">
        <v>0</v>
      </c>
      <c r="I223" s="83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  <c r="Q223" s="83">
        <v>0</v>
      </c>
      <c r="R223" s="116">
        <f t="shared" si="89"/>
        <v>0</v>
      </c>
      <c r="S223" s="83">
        <f t="shared" si="90"/>
        <v>0</v>
      </c>
      <c r="T223" s="83">
        <f t="shared" si="90"/>
        <v>0</v>
      </c>
      <c r="U223" s="83">
        <f t="shared" si="91"/>
        <v>0</v>
      </c>
      <c r="V223" s="83">
        <f t="shared" si="91"/>
        <v>0</v>
      </c>
      <c r="W223" s="83">
        <f t="shared" si="91"/>
        <v>0</v>
      </c>
      <c r="X223" s="83">
        <f t="shared" si="91"/>
        <v>0</v>
      </c>
      <c r="Y223" s="83">
        <f t="shared" si="91"/>
        <v>0</v>
      </c>
      <c r="Z223" s="83">
        <f t="shared" si="91"/>
        <v>0</v>
      </c>
      <c r="AA223" s="83">
        <f t="shared" si="91"/>
        <v>0</v>
      </c>
      <c r="AB223" s="83">
        <f t="shared" si="91"/>
        <v>0</v>
      </c>
      <c r="AC223" s="83">
        <f t="shared" si="91"/>
        <v>0</v>
      </c>
      <c r="AD223" s="83">
        <f t="shared" si="91"/>
        <v>0</v>
      </c>
      <c r="AE223" s="83">
        <f t="shared" si="92"/>
        <v>0</v>
      </c>
      <c r="AF223" s="83"/>
      <c r="AH223" s="83"/>
      <c r="AI223" s="83"/>
      <c r="BB223" s="101">
        <f t="shared" si="74"/>
        <v>0</v>
      </c>
    </row>
    <row r="224" spans="1:54" s="62" customFormat="1" outlineLevel="2" x14ac:dyDescent="0.25">
      <c r="B224" s="81" t="s">
        <v>932</v>
      </c>
      <c r="C224" s="81" t="s">
        <v>933</v>
      </c>
      <c r="D224" s="82">
        <v>0</v>
      </c>
      <c r="E224" s="82">
        <v>0</v>
      </c>
      <c r="F224" s="83">
        <v>0</v>
      </c>
      <c r="G224" s="83">
        <v>0</v>
      </c>
      <c r="H224" s="83">
        <v>0</v>
      </c>
      <c r="I224" s="83">
        <v>0</v>
      </c>
      <c r="J224" s="83">
        <v>0</v>
      </c>
      <c r="K224" s="83">
        <v>0</v>
      </c>
      <c r="L224" s="83">
        <v>0</v>
      </c>
      <c r="M224" s="83">
        <v>0</v>
      </c>
      <c r="N224" s="83">
        <v>0</v>
      </c>
      <c r="O224" s="83">
        <v>0</v>
      </c>
      <c r="P224" s="83">
        <v>0</v>
      </c>
      <c r="Q224" s="83">
        <v>0</v>
      </c>
      <c r="R224" s="116">
        <f t="shared" si="89"/>
        <v>0</v>
      </c>
      <c r="S224" s="83">
        <f t="shared" si="90"/>
        <v>0</v>
      </c>
      <c r="T224" s="83">
        <f t="shared" si="90"/>
        <v>0</v>
      </c>
      <c r="U224" s="83">
        <f t="shared" si="91"/>
        <v>0</v>
      </c>
      <c r="V224" s="83">
        <f t="shared" si="91"/>
        <v>0</v>
      </c>
      <c r="W224" s="83">
        <f t="shared" si="91"/>
        <v>0</v>
      </c>
      <c r="X224" s="83">
        <f t="shared" si="91"/>
        <v>0</v>
      </c>
      <c r="Y224" s="83">
        <f t="shared" si="91"/>
        <v>0</v>
      </c>
      <c r="Z224" s="83">
        <f t="shared" si="91"/>
        <v>0</v>
      </c>
      <c r="AA224" s="83">
        <f t="shared" si="91"/>
        <v>0</v>
      </c>
      <c r="AB224" s="83">
        <f t="shared" si="91"/>
        <v>0</v>
      </c>
      <c r="AC224" s="83">
        <f t="shared" si="91"/>
        <v>0</v>
      </c>
      <c r="AD224" s="83">
        <f t="shared" si="91"/>
        <v>0</v>
      </c>
      <c r="AE224" s="83">
        <f t="shared" si="92"/>
        <v>0</v>
      </c>
      <c r="AF224" s="83"/>
      <c r="AH224" s="83"/>
      <c r="AI224" s="83"/>
      <c r="BB224" s="101">
        <f t="shared" ref="BB224:BB287" si="94">+AE224*E224*12</f>
        <v>0</v>
      </c>
    </row>
    <row r="225" spans="2:54" s="62" customFormat="1" outlineLevel="2" x14ac:dyDescent="0.25">
      <c r="B225" s="81" t="s">
        <v>934</v>
      </c>
      <c r="C225" s="81" t="s">
        <v>935</v>
      </c>
      <c r="D225" s="82">
        <v>0</v>
      </c>
      <c r="E225" s="82">
        <v>0</v>
      </c>
      <c r="F225" s="83">
        <v>0</v>
      </c>
      <c r="G225" s="83">
        <v>0</v>
      </c>
      <c r="H225" s="83">
        <v>0</v>
      </c>
      <c r="I225" s="83">
        <v>0</v>
      </c>
      <c r="J225" s="83">
        <v>0</v>
      </c>
      <c r="K225" s="83">
        <v>0</v>
      </c>
      <c r="L225" s="83">
        <v>0</v>
      </c>
      <c r="M225" s="83">
        <v>0</v>
      </c>
      <c r="N225" s="83">
        <v>0</v>
      </c>
      <c r="O225" s="83">
        <v>0</v>
      </c>
      <c r="P225" s="83">
        <v>0</v>
      </c>
      <c r="Q225" s="83">
        <v>0</v>
      </c>
      <c r="R225" s="116">
        <f t="shared" si="89"/>
        <v>0</v>
      </c>
      <c r="S225" s="83">
        <f t="shared" si="90"/>
        <v>0</v>
      </c>
      <c r="T225" s="83">
        <f t="shared" si="90"/>
        <v>0</v>
      </c>
      <c r="U225" s="83">
        <f t="shared" si="91"/>
        <v>0</v>
      </c>
      <c r="V225" s="83">
        <f t="shared" si="91"/>
        <v>0</v>
      </c>
      <c r="W225" s="83">
        <f t="shared" si="91"/>
        <v>0</v>
      </c>
      <c r="X225" s="83">
        <f t="shared" si="91"/>
        <v>0</v>
      </c>
      <c r="Y225" s="83">
        <f t="shared" si="91"/>
        <v>0</v>
      </c>
      <c r="Z225" s="83">
        <f t="shared" si="91"/>
        <v>0</v>
      </c>
      <c r="AA225" s="83">
        <f t="shared" si="91"/>
        <v>0</v>
      </c>
      <c r="AB225" s="83">
        <f t="shared" si="91"/>
        <v>0</v>
      </c>
      <c r="AC225" s="83">
        <f t="shared" si="91"/>
        <v>0</v>
      </c>
      <c r="AD225" s="83">
        <f t="shared" si="91"/>
        <v>0</v>
      </c>
      <c r="AE225" s="83">
        <f t="shared" si="92"/>
        <v>0</v>
      </c>
      <c r="AF225" s="83"/>
      <c r="AH225" s="83"/>
      <c r="AI225" s="83"/>
      <c r="BB225" s="101">
        <f t="shared" si="94"/>
        <v>0</v>
      </c>
    </row>
    <row r="226" spans="2:54" s="62" customFormat="1" outlineLevel="2" x14ac:dyDescent="0.25">
      <c r="B226" s="81" t="s">
        <v>936</v>
      </c>
      <c r="C226" s="81" t="s">
        <v>937</v>
      </c>
      <c r="D226" s="82">
        <v>0</v>
      </c>
      <c r="E226" s="82">
        <v>0</v>
      </c>
      <c r="F226" s="83">
        <v>0</v>
      </c>
      <c r="G226" s="83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0</v>
      </c>
      <c r="M226" s="83">
        <v>0</v>
      </c>
      <c r="N226" s="83">
        <v>0</v>
      </c>
      <c r="O226" s="83">
        <v>0</v>
      </c>
      <c r="P226" s="83">
        <v>0</v>
      </c>
      <c r="Q226" s="83">
        <v>0</v>
      </c>
      <c r="R226" s="116">
        <f t="shared" si="89"/>
        <v>0</v>
      </c>
      <c r="S226" s="83">
        <f t="shared" si="90"/>
        <v>0</v>
      </c>
      <c r="T226" s="83">
        <f t="shared" si="90"/>
        <v>0</v>
      </c>
      <c r="U226" s="83">
        <f t="shared" ref="U226:AD243" si="95">+IFERROR(H226/$E226,0)</f>
        <v>0</v>
      </c>
      <c r="V226" s="83">
        <f t="shared" si="95"/>
        <v>0</v>
      </c>
      <c r="W226" s="83">
        <f t="shared" si="95"/>
        <v>0</v>
      </c>
      <c r="X226" s="83">
        <f t="shared" si="95"/>
        <v>0</v>
      </c>
      <c r="Y226" s="83">
        <f t="shared" si="95"/>
        <v>0</v>
      </c>
      <c r="Z226" s="83">
        <f t="shared" si="95"/>
        <v>0</v>
      </c>
      <c r="AA226" s="83">
        <f t="shared" si="95"/>
        <v>0</v>
      </c>
      <c r="AB226" s="83">
        <f t="shared" si="95"/>
        <v>0</v>
      </c>
      <c r="AC226" s="83">
        <f t="shared" si="95"/>
        <v>0</v>
      </c>
      <c r="AD226" s="83">
        <f t="shared" si="95"/>
        <v>0</v>
      </c>
      <c r="AE226" s="83">
        <f t="shared" si="92"/>
        <v>0</v>
      </c>
      <c r="AF226" s="83"/>
      <c r="AH226" s="83"/>
      <c r="AI226" s="83"/>
      <c r="BB226" s="101">
        <f t="shared" si="94"/>
        <v>0</v>
      </c>
    </row>
    <row r="227" spans="2:54" s="62" customFormat="1" outlineLevel="2" x14ac:dyDescent="0.25">
      <c r="B227" s="81" t="s">
        <v>938</v>
      </c>
      <c r="C227" s="81" t="s">
        <v>939</v>
      </c>
      <c r="D227" s="82">
        <v>0</v>
      </c>
      <c r="E227" s="82">
        <v>0</v>
      </c>
      <c r="F227" s="83">
        <v>0</v>
      </c>
      <c r="G227" s="83">
        <v>0</v>
      </c>
      <c r="H227" s="83">
        <v>0</v>
      </c>
      <c r="I227" s="83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  <c r="Q227" s="83">
        <v>0</v>
      </c>
      <c r="R227" s="116">
        <f t="shared" si="89"/>
        <v>0</v>
      </c>
      <c r="S227" s="83">
        <f t="shared" si="90"/>
        <v>0</v>
      </c>
      <c r="T227" s="83">
        <f t="shared" si="90"/>
        <v>0</v>
      </c>
      <c r="U227" s="83">
        <f t="shared" si="95"/>
        <v>0</v>
      </c>
      <c r="V227" s="83">
        <f t="shared" si="95"/>
        <v>0</v>
      </c>
      <c r="W227" s="83">
        <f t="shared" si="95"/>
        <v>0</v>
      </c>
      <c r="X227" s="83">
        <f t="shared" si="95"/>
        <v>0</v>
      </c>
      <c r="Y227" s="83">
        <f t="shared" si="95"/>
        <v>0</v>
      </c>
      <c r="Z227" s="83">
        <f t="shared" si="95"/>
        <v>0</v>
      </c>
      <c r="AA227" s="83">
        <f t="shared" si="95"/>
        <v>0</v>
      </c>
      <c r="AB227" s="83">
        <f t="shared" si="95"/>
        <v>0</v>
      </c>
      <c r="AC227" s="83">
        <f t="shared" si="95"/>
        <v>0</v>
      </c>
      <c r="AD227" s="83">
        <f t="shared" si="95"/>
        <v>0</v>
      </c>
      <c r="AE227" s="83">
        <f t="shared" si="92"/>
        <v>0</v>
      </c>
      <c r="AF227" s="83"/>
      <c r="AH227" s="83"/>
      <c r="AI227" s="83"/>
      <c r="BB227" s="101">
        <f t="shared" si="94"/>
        <v>0</v>
      </c>
    </row>
    <row r="228" spans="2:54" s="62" customFormat="1" outlineLevel="2" x14ac:dyDescent="0.25">
      <c r="B228" s="81" t="s">
        <v>940</v>
      </c>
      <c r="C228" s="81" t="s">
        <v>941</v>
      </c>
      <c r="D228" s="82">
        <v>0</v>
      </c>
      <c r="E228" s="82">
        <v>0</v>
      </c>
      <c r="F228" s="83">
        <v>0</v>
      </c>
      <c r="G228" s="83">
        <v>0</v>
      </c>
      <c r="H228" s="83">
        <v>0</v>
      </c>
      <c r="I228" s="83">
        <v>0</v>
      </c>
      <c r="J228" s="83">
        <v>0</v>
      </c>
      <c r="K228" s="83">
        <v>0</v>
      </c>
      <c r="L228" s="83">
        <v>0</v>
      </c>
      <c r="M228" s="83">
        <v>0</v>
      </c>
      <c r="N228" s="83">
        <v>0</v>
      </c>
      <c r="O228" s="83">
        <v>0</v>
      </c>
      <c r="P228" s="83">
        <v>0</v>
      </c>
      <c r="Q228" s="83">
        <v>0</v>
      </c>
      <c r="R228" s="116">
        <f t="shared" si="89"/>
        <v>0</v>
      </c>
      <c r="S228" s="83">
        <f t="shared" si="90"/>
        <v>0</v>
      </c>
      <c r="T228" s="83">
        <f t="shared" si="90"/>
        <v>0</v>
      </c>
      <c r="U228" s="83">
        <f t="shared" si="95"/>
        <v>0</v>
      </c>
      <c r="V228" s="83">
        <f t="shared" si="95"/>
        <v>0</v>
      </c>
      <c r="W228" s="83">
        <f t="shared" si="95"/>
        <v>0</v>
      </c>
      <c r="X228" s="83">
        <f t="shared" si="95"/>
        <v>0</v>
      </c>
      <c r="Y228" s="83">
        <f t="shared" si="95"/>
        <v>0</v>
      </c>
      <c r="Z228" s="83">
        <f t="shared" si="95"/>
        <v>0</v>
      </c>
      <c r="AA228" s="83">
        <f t="shared" si="95"/>
        <v>0</v>
      </c>
      <c r="AB228" s="83">
        <f t="shared" si="95"/>
        <v>0</v>
      </c>
      <c r="AC228" s="83">
        <f t="shared" si="95"/>
        <v>0</v>
      </c>
      <c r="AD228" s="83">
        <f t="shared" si="95"/>
        <v>0</v>
      </c>
      <c r="AE228" s="83">
        <f t="shared" si="92"/>
        <v>0</v>
      </c>
      <c r="AF228" s="83"/>
      <c r="AH228" s="83"/>
      <c r="AI228" s="83"/>
      <c r="BB228" s="101">
        <f t="shared" si="94"/>
        <v>0</v>
      </c>
    </row>
    <row r="229" spans="2:54" s="62" customFormat="1" outlineLevel="2" x14ac:dyDescent="0.25">
      <c r="B229" s="81" t="s">
        <v>942</v>
      </c>
      <c r="C229" s="81" t="s">
        <v>943</v>
      </c>
      <c r="D229" s="82">
        <v>0</v>
      </c>
      <c r="E229" s="82">
        <v>0</v>
      </c>
      <c r="F229" s="83">
        <v>0</v>
      </c>
      <c r="G229" s="83">
        <v>0</v>
      </c>
      <c r="H229" s="83">
        <v>0</v>
      </c>
      <c r="I229" s="83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  <c r="Q229" s="83">
        <v>0</v>
      </c>
      <c r="R229" s="116">
        <f t="shared" si="89"/>
        <v>0</v>
      </c>
      <c r="S229" s="83">
        <f t="shared" si="90"/>
        <v>0</v>
      </c>
      <c r="T229" s="83">
        <f t="shared" si="90"/>
        <v>0</v>
      </c>
      <c r="U229" s="83">
        <f t="shared" si="95"/>
        <v>0</v>
      </c>
      <c r="V229" s="83">
        <f t="shared" si="95"/>
        <v>0</v>
      </c>
      <c r="W229" s="83">
        <f t="shared" si="95"/>
        <v>0</v>
      </c>
      <c r="X229" s="83">
        <f t="shared" si="95"/>
        <v>0</v>
      </c>
      <c r="Y229" s="83">
        <f t="shared" si="95"/>
        <v>0</v>
      </c>
      <c r="Z229" s="83">
        <f t="shared" si="95"/>
        <v>0</v>
      </c>
      <c r="AA229" s="83">
        <f t="shared" si="95"/>
        <v>0</v>
      </c>
      <c r="AB229" s="83">
        <f t="shared" si="95"/>
        <v>0</v>
      </c>
      <c r="AC229" s="83">
        <f t="shared" si="95"/>
        <v>0</v>
      </c>
      <c r="AD229" s="83">
        <f t="shared" si="95"/>
        <v>0</v>
      </c>
      <c r="AE229" s="83">
        <f t="shared" si="92"/>
        <v>0</v>
      </c>
      <c r="AF229" s="83"/>
      <c r="AH229" s="83"/>
      <c r="AI229" s="83"/>
      <c r="BB229" s="101">
        <f t="shared" si="94"/>
        <v>0</v>
      </c>
    </row>
    <row r="230" spans="2:54" s="62" customFormat="1" outlineLevel="2" x14ac:dyDescent="0.25">
      <c r="B230" s="81" t="s">
        <v>944</v>
      </c>
      <c r="C230" s="81" t="s">
        <v>945</v>
      </c>
      <c r="D230" s="82">
        <v>0</v>
      </c>
      <c r="E230" s="82">
        <v>0</v>
      </c>
      <c r="F230" s="83">
        <v>0</v>
      </c>
      <c r="G230" s="83">
        <v>0</v>
      </c>
      <c r="H230" s="83">
        <v>0</v>
      </c>
      <c r="I230" s="83">
        <v>0</v>
      </c>
      <c r="J230" s="83">
        <v>0</v>
      </c>
      <c r="K230" s="83">
        <v>0</v>
      </c>
      <c r="L230" s="83">
        <v>0</v>
      </c>
      <c r="M230" s="83">
        <v>0</v>
      </c>
      <c r="N230" s="83">
        <v>0</v>
      </c>
      <c r="O230" s="83">
        <v>0</v>
      </c>
      <c r="P230" s="83">
        <v>0</v>
      </c>
      <c r="Q230" s="83">
        <v>0</v>
      </c>
      <c r="R230" s="116">
        <f t="shared" si="89"/>
        <v>0</v>
      </c>
      <c r="S230" s="83">
        <f t="shared" si="90"/>
        <v>0</v>
      </c>
      <c r="T230" s="83">
        <f t="shared" si="90"/>
        <v>0</v>
      </c>
      <c r="U230" s="83">
        <f t="shared" si="95"/>
        <v>0</v>
      </c>
      <c r="V230" s="83">
        <f t="shared" si="95"/>
        <v>0</v>
      </c>
      <c r="W230" s="83">
        <f t="shared" si="95"/>
        <v>0</v>
      </c>
      <c r="X230" s="83">
        <f t="shared" si="95"/>
        <v>0</v>
      </c>
      <c r="Y230" s="83">
        <f t="shared" si="95"/>
        <v>0</v>
      </c>
      <c r="Z230" s="83">
        <f t="shared" si="95"/>
        <v>0</v>
      </c>
      <c r="AA230" s="83">
        <f t="shared" si="95"/>
        <v>0</v>
      </c>
      <c r="AB230" s="83">
        <f t="shared" si="95"/>
        <v>0</v>
      </c>
      <c r="AC230" s="83">
        <f t="shared" si="95"/>
        <v>0</v>
      </c>
      <c r="AD230" s="83">
        <f t="shared" si="95"/>
        <v>0</v>
      </c>
      <c r="AE230" s="83">
        <f t="shared" si="92"/>
        <v>0</v>
      </c>
      <c r="AF230" s="83"/>
      <c r="AH230" s="83"/>
      <c r="AI230" s="83"/>
      <c r="BB230" s="101">
        <f t="shared" si="94"/>
        <v>0</v>
      </c>
    </row>
    <row r="231" spans="2:54" s="62" customFormat="1" outlineLevel="2" x14ac:dyDescent="0.25">
      <c r="B231" s="81" t="s">
        <v>946</v>
      </c>
      <c r="C231" s="81" t="s">
        <v>947</v>
      </c>
      <c r="D231" s="82">
        <v>0</v>
      </c>
      <c r="E231" s="82">
        <v>0</v>
      </c>
      <c r="F231" s="83">
        <v>0</v>
      </c>
      <c r="G231" s="83">
        <v>0</v>
      </c>
      <c r="H231" s="83">
        <v>0</v>
      </c>
      <c r="I231" s="83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  <c r="Q231" s="83">
        <v>0</v>
      </c>
      <c r="R231" s="116">
        <f t="shared" si="89"/>
        <v>0</v>
      </c>
      <c r="S231" s="83">
        <f t="shared" si="90"/>
        <v>0</v>
      </c>
      <c r="T231" s="83">
        <f t="shared" si="90"/>
        <v>0</v>
      </c>
      <c r="U231" s="83">
        <f t="shared" si="95"/>
        <v>0</v>
      </c>
      <c r="V231" s="83">
        <f t="shared" si="95"/>
        <v>0</v>
      </c>
      <c r="W231" s="83">
        <f t="shared" si="95"/>
        <v>0</v>
      </c>
      <c r="X231" s="83">
        <f t="shared" si="95"/>
        <v>0</v>
      </c>
      <c r="Y231" s="83">
        <f t="shared" si="95"/>
        <v>0</v>
      </c>
      <c r="Z231" s="83">
        <f t="shared" si="95"/>
        <v>0</v>
      </c>
      <c r="AA231" s="83">
        <f t="shared" si="95"/>
        <v>0</v>
      </c>
      <c r="AB231" s="83">
        <f t="shared" si="95"/>
        <v>0</v>
      </c>
      <c r="AC231" s="83">
        <f t="shared" si="95"/>
        <v>0</v>
      </c>
      <c r="AD231" s="83">
        <f t="shared" si="95"/>
        <v>0</v>
      </c>
      <c r="AE231" s="83">
        <f t="shared" si="92"/>
        <v>0</v>
      </c>
      <c r="AF231" s="83"/>
      <c r="AH231" s="83"/>
      <c r="AI231" s="83"/>
      <c r="BB231" s="101">
        <f t="shared" si="94"/>
        <v>0</v>
      </c>
    </row>
    <row r="232" spans="2:54" s="62" customFormat="1" outlineLevel="2" x14ac:dyDescent="0.25">
      <c r="B232" s="81" t="s">
        <v>948</v>
      </c>
      <c r="C232" s="81" t="s">
        <v>949</v>
      </c>
      <c r="D232" s="82">
        <v>0</v>
      </c>
      <c r="E232" s="82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0</v>
      </c>
      <c r="L232" s="83">
        <v>0</v>
      </c>
      <c r="M232" s="83">
        <v>0</v>
      </c>
      <c r="N232" s="83">
        <v>0</v>
      </c>
      <c r="O232" s="83">
        <v>0</v>
      </c>
      <c r="P232" s="83">
        <v>0</v>
      </c>
      <c r="Q232" s="83">
        <v>0</v>
      </c>
      <c r="R232" s="116">
        <f t="shared" si="89"/>
        <v>0</v>
      </c>
      <c r="S232" s="83">
        <f t="shared" si="90"/>
        <v>0</v>
      </c>
      <c r="T232" s="83">
        <f t="shared" si="90"/>
        <v>0</v>
      </c>
      <c r="U232" s="83">
        <f t="shared" si="95"/>
        <v>0</v>
      </c>
      <c r="V232" s="83">
        <f t="shared" si="95"/>
        <v>0</v>
      </c>
      <c r="W232" s="83">
        <f t="shared" si="95"/>
        <v>0</v>
      </c>
      <c r="X232" s="83">
        <f t="shared" si="95"/>
        <v>0</v>
      </c>
      <c r="Y232" s="83">
        <f t="shared" si="95"/>
        <v>0</v>
      </c>
      <c r="Z232" s="83">
        <f t="shared" si="95"/>
        <v>0</v>
      </c>
      <c r="AA232" s="83">
        <f t="shared" si="95"/>
        <v>0</v>
      </c>
      <c r="AB232" s="83">
        <f t="shared" si="95"/>
        <v>0</v>
      </c>
      <c r="AC232" s="83">
        <f t="shared" si="95"/>
        <v>0</v>
      </c>
      <c r="AD232" s="83">
        <f t="shared" si="95"/>
        <v>0</v>
      </c>
      <c r="AE232" s="83">
        <f t="shared" si="92"/>
        <v>0</v>
      </c>
      <c r="AF232" s="83"/>
      <c r="AH232" s="83"/>
      <c r="AI232" s="83"/>
      <c r="BB232" s="101">
        <f t="shared" si="94"/>
        <v>0</v>
      </c>
    </row>
    <row r="233" spans="2:54" s="62" customFormat="1" outlineLevel="2" x14ac:dyDescent="0.25">
      <c r="B233" s="81" t="s">
        <v>950</v>
      </c>
      <c r="C233" s="81" t="s">
        <v>951</v>
      </c>
      <c r="D233" s="82">
        <v>0</v>
      </c>
      <c r="E233" s="82">
        <v>0</v>
      </c>
      <c r="F233" s="83">
        <v>0</v>
      </c>
      <c r="G233" s="83">
        <v>0</v>
      </c>
      <c r="H233" s="83">
        <v>0</v>
      </c>
      <c r="I233" s="83">
        <v>0</v>
      </c>
      <c r="J233" s="83">
        <v>0</v>
      </c>
      <c r="K233" s="83">
        <v>0</v>
      </c>
      <c r="L233" s="83">
        <v>0</v>
      </c>
      <c r="M233" s="83">
        <v>0</v>
      </c>
      <c r="N233" s="83">
        <v>0</v>
      </c>
      <c r="O233" s="83">
        <v>0</v>
      </c>
      <c r="P233" s="83">
        <v>0</v>
      </c>
      <c r="Q233" s="83">
        <v>0</v>
      </c>
      <c r="R233" s="116">
        <f t="shared" si="89"/>
        <v>0</v>
      </c>
      <c r="S233" s="83">
        <f t="shared" si="90"/>
        <v>0</v>
      </c>
      <c r="T233" s="83">
        <f t="shared" si="90"/>
        <v>0</v>
      </c>
      <c r="U233" s="83">
        <f t="shared" si="95"/>
        <v>0</v>
      </c>
      <c r="V233" s="83">
        <f t="shared" si="95"/>
        <v>0</v>
      </c>
      <c r="W233" s="83">
        <f t="shared" si="95"/>
        <v>0</v>
      </c>
      <c r="X233" s="83">
        <f t="shared" si="95"/>
        <v>0</v>
      </c>
      <c r="Y233" s="83">
        <f t="shared" si="95"/>
        <v>0</v>
      </c>
      <c r="Z233" s="83">
        <f t="shared" si="95"/>
        <v>0</v>
      </c>
      <c r="AA233" s="83">
        <f t="shared" si="95"/>
        <v>0</v>
      </c>
      <c r="AB233" s="83">
        <f t="shared" si="95"/>
        <v>0</v>
      </c>
      <c r="AC233" s="83">
        <f t="shared" si="95"/>
        <v>0</v>
      </c>
      <c r="AD233" s="83">
        <f t="shared" si="95"/>
        <v>0</v>
      </c>
      <c r="AE233" s="83">
        <f t="shared" si="92"/>
        <v>0</v>
      </c>
      <c r="AF233" s="83"/>
      <c r="AH233" s="83"/>
      <c r="AI233" s="83"/>
      <c r="BB233" s="101">
        <f t="shared" si="94"/>
        <v>0</v>
      </c>
    </row>
    <row r="234" spans="2:54" s="62" customFormat="1" outlineLevel="2" x14ac:dyDescent="0.25">
      <c r="B234" s="81" t="s">
        <v>952</v>
      </c>
      <c r="C234" s="81" t="s">
        <v>953</v>
      </c>
      <c r="D234" s="82">
        <v>0</v>
      </c>
      <c r="E234" s="82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0</v>
      </c>
      <c r="L234" s="83">
        <v>0</v>
      </c>
      <c r="M234" s="83">
        <v>0</v>
      </c>
      <c r="N234" s="83">
        <v>0</v>
      </c>
      <c r="O234" s="83">
        <v>0</v>
      </c>
      <c r="P234" s="83">
        <v>0</v>
      </c>
      <c r="Q234" s="83">
        <v>0</v>
      </c>
      <c r="R234" s="116">
        <f t="shared" si="89"/>
        <v>0</v>
      </c>
      <c r="S234" s="83">
        <f t="shared" si="90"/>
        <v>0</v>
      </c>
      <c r="T234" s="83">
        <f t="shared" si="90"/>
        <v>0</v>
      </c>
      <c r="U234" s="83">
        <f t="shared" si="95"/>
        <v>0</v>
      </c>
      <c r="V234" s="83">
        <f t="shared" si="95"/>
        <v>0</v>
      </c>
      <c r="W234" s="83">
        <f t="shared" si="95"/>
        <v>0</v>
      </c>
      <c r="X234" s="83">
        <f t="shared" si="95"/>
        <v>0</v>
      </c>
      <c r="Y234" s="83">
        <f t="shared" si="95"/>
        <v>0</v>
      </c>
      <c r="Z234" s="83">
        <f t="shared" si="95"/>
        <v>0</v>
      </c>
      <c r="AA234" s="83">
        <f t="shared" si="95"/>
        <v>0</v>
      </c>
      <c r="AB234" s="83">
        <f t="shared" si="95"/>
        <v>0</v>
      </c>
      <c r="AC234" s="83">
        <f t="shared" si="95"/>
        <v>0</v>
      </c>
      <c r="AD234" s="83">
        <f t="shared" si="95"/>
        <v>0</v>
      </c>
      <c r="AE234" s="83">
        <f t="shared" si="92"/>
        <v>0</v>
      </c>
      <c r="AF234" s="83"/>
      <c r="AH234" s="83"/>
      <c r="AI234" s="83"/>
      <c r="BB234" s="101">
        <f t="shared" si="94"/>
        <v>0</v>
      </c>
    </row>
    <row r="235" spans="2:54" s="62" customFormat="1" outlineLevel="2" x14ac:dyDescent="0.25">
      <c r="B235" s="81" t="s">
        <v>954</v>
      </c>
      <c r="C235" s="81" t="s">
        <v>955</v>
      </c>
      <c r="D235" s="82">
        <v>0</v>
      </c>
      <c r="E235" s="82">
        <v>0</v>
      </c>
      <c r="F235" s="83">
        <v>0</v>
      </c>
      <c r="G235" s="83">
        <v>0</v>
      </c>
      <c r="H235" s="83">
        <v>0</v>
      </c>
      <c r="I235" s="83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  <c r="Q235" s="83">
        <v>0</v>
      </c>
      <c r="R235" s="116">
        <f t="shared" si="89"/>
        <v>0</v>
      </c>
      <c r="S235" s="83">
        <f t="shared" si="90"/>
        <v>0</v>
      </c>
      <c r="T235" s="83">
        <f t="shared" si="90"/>
        <v>0</v>
      </c>
      <c r="U235" s="83">
        <f t="shared" si="95"/>
        <v>0</v>
      </c>
      <c r="V235" s="83">
        <f t="shared" si="95"/>
        <v>0</v>
      </c>
      <c r="W235" s="83">
        <f t="shared" si="95"/>
        <v>0</v>
      </c>
      <c r="X235" s="83">
        <f t="shared" si="95"/>
        <v>0</v>
      </c>
      <c r="Y235" s="83">
        <f t="shared" si="95"/>
        <v>0</v>
      </c>
      <c r="Z235" s="83">
        <f t="shared" si="95"/>
        <v>0</v>
      </c>
      <c r="AA235" s="83">
        <f t="shared" si="95"/>
        <v>0</v>
      </c>
      <c r="AB235" s="83">
        <f t="shared" si="95"/>
        <v>0</v>
      </c>
      <c r="AC235" s="83">
        <f t="shared" si="95"/>
        <v>0</v>
      </c>
      <c r="AD235" s="83">
        <f t="shared" si="95"/>
        <v>0</v>
      </c>
      <c r="AE235" s="83">
        <f t="shared" si="92"/>
        <v>0</v>
      </c>
      <c r="AF235" s="83"/>
      <c r="AH235" s="83"/>
      <c r="AI235" s="83"/>
      <c r="BB235" s="101">
        <f t="shared" si="94"/>
        <v>0</v>
      </c>
    </row>
    <row r="236" spans="2:54" s="62" customFormat="1" outlineLevel="2" x14ac:dyDescent="0.25">
      <c r="B236" s="81" t="s">
        <v>956</v>
      </c>
      <c r="C236" s="81" t="s">
        <v>957</v>
      </c>
      <c r="D236" s="82">
        <v>0</v>
      </c>
      <c r="E236" s="82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0</v>
      </c>
      <c r="L236" s="83">
        <v>0</v>
      </c>
      <c r="M236" s="83">
        <v>0</v>
      </c>
      <c r="N236" s="83">
        <v>0</v>
      </c>
      <c r="O236" s="83">
        <v>0</v>
      </c>
      <c r="P236" s="83">
        <v>0</v>
      </c>
      <c r="Q236" s="83">
        <v>0</v>
      </c>
      <c r="R236" s="116">
        <f t="shared" si="89"/>
        <v>0</v>
      </c>
      <c r="S236" s="83">
        <f t="shared" si="90"/>
        <v>0</v>
      </c>
      <c r="T236" s="83">
        <f t="shared" si="90"/>
        <v>0</v>
      </c>
      <c r="U236" s="83">
        <f t="shared" si="95"/>
        <v>0</v>
      </c>
      <c r="V236" s="83">
        <f t="shared" si="95"/>
        <v>0</v>
      </c>
      <c r="W236" s="83">
        <f t="shared" si="95"/>
        <v>0</v>
      </c>
      <c r="X236" s="83">
        <f t="shared" si="95"/>
        <v>0</v>
      </c>
      <c r="Y236" s="83">
        <f t="shared" si="95"/>
        <v>0</v>
      </c>
      <c r="Z236" s="83">
        <f t="shared" si="95"/>
        <v>0</v>
      </c>
      <c r="AA236" s="83">
        <f t="shared" si="95"/>
        <v>0</v>
      </c>
      <c r="AB236" s="83">
        <f t="shared" si="95"/>
        <v>0</v>
      </c>
      <c r="AC236" s="83">
        <f t="shared" si="95"/>
        <v>0</v>
      </c>
      <c r="AD236" s="83">
        <f t="shared" si="95"/>
        <v>0</v>
      </c>
      <c r="AE236" s="83">
        <f t="shared" si="92"/>
        <v>0</v>
      </c>
      <c r="AF236" s="83"/>
      <c r="AH236" s="83"/>
      <c r="AI236" s="83"/>
      <c r="BB236" s="101">
        <f t="shared" si="94"/>
        <v>0</v>
      </c>
    </row>
    <row r="237" spans="2:54" s="62" customFormat="1" outlineLevel="2" x14ac:dyDescent="0.25">
      <c r="B237" s="81" t="s">
        <v>958</v>
      </c>
      <c r="C237" s="81" t="s">
        <v>959</v>
      </c>
      <c r="D237" s="82">
        <v>0</v>
      </c>
      <c r="E237" s="82">
        <v>0</v>
      </c>
      <c r="F237" s="83">
        <v>0</v>
      </c>
      <c r="G237" s="83">
        <v>0</v>
      </c>
      <c r="H237" s="83">
        <v>0</v>
      </c>
      <c r="I237" s="83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  <c r="Q237" s="83">
        <v>0</v>
      </c>
      <c r="R237" s="116">
        <f t="shared" si="89"/>
        <v>0</v>
      </c>
      <c r="S237" s="83">
        <f t="shared" si="90"/>
        <v>0</v>
      </c>
      <c r="T237" s="83">
        <f t="shared" si="90"/>
        <v>0</v>
      </c>
      <c r="U237" s="83">
        <f t="shared" si="95"/>
        <v>0</v>
      </c>
      <c r="V237" s="83">
        <f t="shared" si="95"/>
        <v>0</v>
      </c>
      <c r="W237" s="83">
        <f t="shared" si="95"/>
        <v>0</v>
      </c>
      <c r="X237" s="83">
        <f t="shared" si="95"/>
        <v>0</v>
      </c>
      <c r="Y237" s="83">
        <f t="shared" si="95"/>
        <v>0</v>
      </c>
      <c r="Z237" s="83">
        <f t="shared" si="95"/>
        <v>0</v>
      </c>
      <c r="AA237" s="83">
        <f t="shared" si="95"/>
        <v>0</v>
      </c>
      <c r="AB237" s="83">
        <f t="shared" si="95"/>
        <v>0</v>
      </c>
      <c r="AC237" s="83">
        <f t="shared" si="95"/>
        <v>0</v>
      </c>
      <c r="AD237" s="83">
        <f t="shared" si="95"/>
        <v>0</v>
      </c>
      <c r="AE237" s="83">
        <f t="shared" si="92"/>
        <v>0</v>
      </c>
      <c r="AF237" s="83"/>
      <c r="AH237" s="83"/>
      <c r="AI237" s="83"/>
      <c r="BB237" s="101">
        <f t="shared" si="94"/>
        <v>0</v>
      </c>
    </row>
    <row r="238" spans="2:54" s="62" customFormat="1" outlineLevel="2" x14ac:dyDescent="0.25">
      <c r="B238" s="81" t="s">
        <v>960</v>
      </c>
      <c r="C238" s="81" t="s">
        <v>961</v>
      </c>
      <c r="D238" s="82">
        <v>0</v>
      </c>
      <c r="E238" s="82">
        <v>0</v>
      </c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116">
        <f t="shared" si="89"/>
        <v>0</v>
      </c>
      <c r="S238" s="83">
        <f t="shared" si="90"/>
        <v>0</v>
      </c>
      <c r="T238" s="83">
        <f t="shared" si="90"/>
        <v>0</v>
      </c>
      <c r="U238" s="83">
        <f t="shared" si="95"/>
        <v>0</v>
      </c>
      <c r="V238" s="83">
        <f t="shared" si="95"/>
        <v>0</v>
      </c>
      <c r="W238" s="83">
        <f t="shared" si="95"/>
        <v>0</v>
      </c>
      <c r="X238" s="83">
        <f t="shared" si="95"/>
        <v>0</v>
      </c>
      <c r="Y238" s="83">
        <f t="shared" si="95"/>
        <v>0</v>
      </c>
      <c r="Z238" s="83">
        <f t="shared" si="95"/>
        <v>0</v>
      </c>
      <c r="AA238" s="83">
        <f t="shared" si="95"/>
        <v>0</v>
      </c>
      <c r="AB238" s="83">
        <f t="shared" si="95"/>
        <v>0</v>
      </c>
      <c r="AC238" s="83">
        <f t="shared" si="95"/>
        <v>0</v>
      </c>
      <c r="AD238" s="83">
        <f t="shared" si="95"/>
        <v>0</v>
      </c>
      <c r="AE238" s="83">
        <f t="shared" si="92"/>
        <v>0</v>
      </c>
      <c r="AF238" s="83"/>
      <c r="AH238" s="83"/>
      <c r="AI238" s="83"/>
      <c r="BB238" s="101">
        <f t="shared" si="94"/>
        <v>0</v>
      </c>
    </row>
    <row r="239" spans="2:54" s="62" customFormat="1" outlineLevel="2" x14ac:dyDescent="0.25">
      <c r="B239" s="81" t="s">
        <v>962</v>
      </c>
      <c r="C239" s="81" t="s">
        <v>963</v>
      </c>
      <c r="D239" s="82">
        <v>0</v>
      </c>
      <c r="E239" s="82">
        <v>0</v>
      </c>
      <c r="F239" s="83">
        <v>0</v>
      </c>
      <c r="G239" s="83">
        <v>0</v>
      </c>
      <c r="H239" s="83">
        <v>0</v>
      </c>
      <c r="I239" s="83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  <c r="Q239" s="83">
        <v>0</v>
      </c>
      <c r="R239" s="116">
        <f t="shared" si="89"/>
        <v>0</v>
      </c>
      <c r="S239" s="83">
        <f t="shared" si="90"/>
        <v>0</v>
      </c>
      <c r="T239" s="83">
        <f t="shared" si="90"/>
        <v>0</v>
      </c>
      <c r="U239" s="83">
        <f t="shared" si="95"/>
        <v>0</v>
      </c>
      <c r="V239" s="83">
        <f t="shared" si="95"/>
        <v>0</v>
      </c>
      <c r="W239" s="83">
        <f t="shared" si="95"/>
        <v>0</v>
      </c>
      <c r="X239" s="83">
        <f t="shared" si="95"/>
        <v>0</v>
      </c>
      <c r="Y239" s="83">
        <f t="shared" si="95"/>
        <v>0</v>
      </c>
      <c r="Z239" s="83">
        <f t="shared" si="95"/>
        <v>0</v>
      </c>
      <c r="AA239" s="83">
        <f t="shared" si="95"/>
        <v>0</v>
      </c>
      <c r="AB239" s="83">
        <f t="shared" si="95"/>
        <v>0</v>
      </c>
      <c r="AC239" s="83">
        <f t="shared" si="95"/>
        <v>0</v>
      </c>
      <c r="AD239" s="83">
        <f t="shared" si="95"/>
        <v>0</v>
      </c>
      <c r="AE239" s="83">
        <f t="shared" si="92"/>
        <v>0</v>
      </c>
      <c r="AF239" s="83"/>
      <c r="AH239" s="83"/>
      <c r="AI239" s="83"/>
      <c r="BB239" s="101">
        <f t="shared" si="94"/>
        <v>0</v>
      </c>
    </row>
    <row r="240" spans="2:54" s="62" customFormat="1" outlineLevel="2" x14ac:dyDescent="0.25">
      <c r="B240" s="81" t="s">
        <v>964</v>
      </c>
      <c r="C240" s="81" t="s">
        <v>965</v>
      </c>
      <c r="D240" s="82">
        <v>0</v>
      </c>
      <c r="E240" s="82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0</v>
      </c>
      <c r="L240" s="83">
        <v>0</v>
      </c>
      <c r="M240" s="83">
        <v>0</v>
      </c>
      <c r="N240" s="83">
        <v>0</v>
      </c>
      <c r="O240" s="83">
        <v>0</v>
      </c>
      <c r="P240" s="83">
        <v>0</v>
      </c>
      <c r="Q240" s="83">
        <v>0</v>
      </c>
      <c r="R240" s="116">
        <f t="shared" si="89"/>
        <v>0</v>
      </c>
      <c r="S240" s="83">
        <f t="shared" si="90"/>
        <v>0</v>
      </c>
      <c r="T240" s="83">
        <f t="shared" si="90"/>
        <v>0</v>
      </c>
      <c r="U240" s="83">
        <f t="shared" si="95"/>
        <v>0</v>
      </c>
      <c r="V240" s="83">
        <f t="shared" si="95"/>
        <v>0</v>
      </c>
      <c r="W240" s="83">
        <f t="shared" si="95"/>
        <v>0</v>
      </c>
      <c r="X240" s="83">
        <f t="shared" si="95"/>
        <v>0</v>
      </c>
      <c r="Y240" s="83">
        <f t="shared" si="95"/>
        <v>0</v>
      </c>
      <c r="Z240" s="83">
        <f t="shared" si="95"/>
        <v>0</v>
      </c>
      <c r="AA240" s="83">
        <f t="shared" si="95"/>
        <v>0</v>
      </c>
      <c r="AB240" s="83">
        <f t="shared" si="95"/>
        <v>0</v>
      </c>
      <c r="AC240" s="83">
        <f t="shared" si="95"/>
        <v>0</v>
      </c>
      <c r="AD240" s="83">
        <f t="shared" si="95"/>
        <v>0</v>
      </c>
      <c r="AE240" s="83">
        <f t="shared" si="92"/>
        <v>0</v>
      </c>
      <c r="AF240" s="83"/>
      <c r="AH240" s="83"/>
      <c r="AI240" s="83"/>
      <c r="BB240" s="101">
        <f t="shared" si="94"/>
        <v>0</v>
      </c>
    </row>
    <row r="241" spans="1:59" s="62" customFormat="1" outlineLevel="2" x14ac:dyDescent="0.25">
      <c r="B241" s="81" t="s">
        <v>966</v>
      </c>
      <c r="C241" s="81" t="s">
        <v>967</v>
      </c>
      <c r="D241" s="82">
        <v>0</v>
      </c>
      <c r="E241" s="82">
        <v>0</v>
      </c>
      <c r="F241" s="83">
        <v>0</v>
      </c>
      <c r="G241" s="83">
        <v>0</v>
      </c>
      <c r="H241" s="83">
        <v>0</v>
      </c>
      <c r="I241" s="83">
        <v>0</v>
      </c>
      <c r="J241" s="83">
        <v>0</v>
      </c>
      <c r="K241" s="83">
        <v>0</v>
      </c>
      <c r="L241" s="83">
        <v>0</v>
      </c>
      <c r="M241" s="83">
        <v>0</v>
      </c>
      <c r="N241" s="83">
        <v>0</v>
      </c>
      <c r="O241" s="83">
        <v>0</v>
      </c>
      <c r="P241" s="83">
        <v>0</v>
      </c>
      <c r="Q241" s="83">
        <v>0</v>
      </c>
      <c r="R241" s="116">
        <f t="shared" si="89"/>
        <v>0</v>
      </c>
      <c r="S241" s="83">
        <f t="shared" si="90"/>
        <v>0</v>
      </c>
      <c r="T241" s="83">
        <f t="shared" si="90"/>
        <v>0</v>
      </c>
      <c r="U241" s="83">
        <f t="shared" si="95"/>
        <v>0</v>
      </c>
      <c r="V241" s="83">
        <f t="shared" si="95"/>
        <v>0</v>
      </c>
      <c r="W241" s="83">
        <f t="shared" si="95"/>
        <v>0</v>
      </c>
      <c r="X241" s="83">
        <f t="shared" si="95"/>
        <v>0</v>
      </c>
      <c r="Y241" s="83">
        <f t="shared" si="95"/>
        <v>0</v>
      </c>
      <c r="Z241" s="83">
        <f t="shared" si="95"/>
        <v>0</v>
      </c>
      <c r="AA241" s="83">
        <f t="shared" si="95"/>
        <v>0</v>
      </c>
      <c r="AB241" s="83">
        <f t="shared" si="95"/>
        <v>0</v>
      </c>
      <c r="AC241" s="83">
        <f t="shared" si="95"/>
        <v>0</v>
      </c>
      <c r="AD241" s="83">
        <f t="shared" si="95"/>
        <v>0</v>
      </c>
      <c r="AE241" s="83">
        <f t="shared" si="92"/>
        <v>0</v>
      </c>
      <c r="AF241" s="83"/>
      <c r="AH241" s="83"/>
      <c r="AI241" s="83"/>
      <c r="BB241" s="101">
        <f t="shared" si="94"/>
        <v>0</v>
      </c>
    </row>
    <row r="242" spans="1:59" s="62" customFormat="1" outlineLevel="2" x14ac:dyDescent="0.25">
      <c r="B242" s="81" t="s">
        <v>968</v>
      </c>
      <c r="C242" s="81" t="s">
        <v>969</v>
      </c>
      <c r="D242" s="82">
        <v>0</v>
      </c>
      <c r="E242" s="82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0</v>
      </c>
      <c r="L242" s="83">
        <v>0</v>
      </c>
      <c r="M242" s="83">
        <v>0</v>
      </c>
      <c r="N242" s="83">
        <v>0</v>
      </c>
      <c r="O242" s="83">
        <v>0</v>
      </c>
      <c r="P242" s="83">
        <v>0</v>
      </c>
      <c r="Q242" s="83">
        <v>0</v>
      </c>
      <c r="R242" s="116">
        <f>+SUM(F242:Q242)</f>
        <v>0</v>
      </c>
      <c r="S242" s="83">
        <f>+IFERROR(F242/$D242,0)</f>
        <v>0</v>
      </c>
      <c r="T242" s="83">
        <f>+IFERROR(G242/$D242,0)</f>
        <v>0</v>
      </c>
      <c r="U242" s="83">
        <f t="shared" si="95"/>
        <v>0</v>
      </c>
      <c r="V242" s="83">
        <f t="shared" si="95"/>
        <v>0</v>
      </c>
      <c r="W242" s="83">
        <f t="shared" si="95"/>
        <v>0</v>
      </c>
      <c r="X242" s="83">
        <f t="shared" si="95"/>
        <v>0</v>
      </c>
      <c r="Y242" s="83">
        <f t="shared" si="95"/>
        <v>0</v>
      </c>
      <c r="Z242" s="83">
        <f t="shared" si="95"/>
        <v>0</v>
      </c>
      <c r="AA242" s="83">
        <f t="shared" si="95"/>
        <v>0</v>
      </c>
      <c r="AB242" s="83">
        <f t="shared" si="95"/>
        <v>0</v>
      </c>
      <c r="AC242" s="83">
        <f t="shared" si="95"/>
        <v>0</v>
      </c>
      <c r="AD242" s="83">
        <f t="shared" si="95"/>
        <v>0</v>
      </c>
      <c r="AE242" s="83">
        <f>+SUM(S242:AD242)/$AB$2</f>
        <v>0</v>
      </c>
      <c r="AF242" s="83"/>
      <c r="AH242" s="83"/>
      <c r="AI242" s="83"/>
      <c r="BB242" s="101">
        <f t="shared" si="94"/>
        <v>0</v>
      </c>
    </row>
    <row r="243" spans="1:59" s="62" customFormat="1" outlineLevel="2" x14ac:dyDescent="0.25">
      <c r="B243" s="81" t="s">
        <v>970</v>
      </c>
      <c r="C243" s="81" t="s">
        <v>971</v>
      </c>
      <c r="D243" s="82">
        <v>0</v>
      </c>
      <c r="E243" s="82">
        <v>0</v>
      </c>
      <c r="F243" s="83">
        <v>0</v>
      </c>
      <c r="G243" s="83">
        <v>0</v>
      </c>
      <c r="H243" s="83">
        <v>0</v>
      </c>
      <c r="I243" s="83">
        <v>0</v>
      </c>
      <c r="J243" s="83">
        <v>0</v>
      </c>
      <c r="K243" s="83">
        <v>0</v>
      </c>
      <c r="L243" s="83">
        <v>0</v>
      </c>
      <c r="M243" s="83">
        <v>0</v>
      </c>
      <c r="N243" s="83">
        <v>0</v>
      </c>
      <c r="O243" s="83">
        <v>0</v>
      </c>
      <c r="P243" s="83">
        <v>0</v>
      </c>
      <c r="Q243" s="83">
        <v>0</v>
      </c>
      <c r="R243" s="116">
        <f t="shared" si="89"/>
        <v>0</v>
      </c>
      <c r="S243" s="83">
        <f t="shared" si="90"/>
        <v>0</v>
      </c>
      <c r="T243" s="83">
        <f t="shared" si="90"/>
        <v>0</v>
      </c>
      <c r="U243" s="83">
        <f t="shared" si="95"/>
        <v>0</v>
      </c>
      <c r="V243" s="83">
        <f t="shared" si="95"/>
        <v>0</v>
      </c>
      <c r="W243" s="83">
        <f t="shared" si="95"/>
        <v>0</v>
      </c>
      <c r="X243" s="83">
        <f t="shared" si="95"/>
        <v>0</v>
      </c>
      <c r="Y243" s="83">
        <f t="shared" si="95"/>
        <v>0</v>
      </c>
      <c r="Z243" s="83">
        <f t="shared" si="95"/>
        <v>0</v>
      </c>
      <c r="AA243" s="83">
        <f t="shared" si="95"/>
        <v>0</v>
      </c>
      <c r="AB243" s="83">
        <f t="shared" si="95"/>
        <v>0</v>
      </c>
      <c r="AC243" s="83">
        <f t="shared" si="95"/>
        <v>0</v>
      </c>
      <c r="AD243" s="83">
        <f t="shared" si="95"/>
        <v>0</v>
      </c>
      <c r="AE243" s="83">
        <f t="shared" si="92"/>
        <v>0</v>
      </c>
      <c r="AF243" s="83"/>
      <c r="AH243" s="83"/>
      <c r="AI243" s="83"/>
      <c r="BB243" s="101">
        <f t="shared" si="94"/>
        <v>0</v>
      </c>
    </row>
    <row r="244" spans="1:59" s="62" customFormat="1" outlineLevel="1" x14ac:dyDescent="0.25">
      <c r="B244" s="81"/>
      <c r="C244" s="81"/>
      <c r="D244" s="82"/>
      <c r="E244" s="82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117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H244" s="83"/>
      <c r="AI244" s="83"/>
      <c r="BB244" s="101"/>
    </row>
    <row r="245" spans="1:59" s="62" customFormat="1" outlineLevel="1" x14ac:dyDescent="0.25">
      <c r="B245" s="81"/>
      <c r="C245" s="85" t="s">
        <v>972</v>
      </c>
      <c r="D245" s="82"/>
      <c r="E245" s="82"/>
      <c r="F245" s="86">
        <f t="shared" ref="F245:R245" si="96">SUM(F210:F244)</f>
        <v>0</v>
      </c>
      <c r="G245" s="86">
        <f t="shared" si="96"/>
        <v>0</v>
      </c>
      <c r="H245" s="86">
        <f t="shared" si="96"/>
        <v>0</v>
      </c>
      <c r="I245" s="86">
        <f t="shared" si="96"/>
        <v>0</v>
      </c>
      <c r="J245" s="86">
        <f t="shared" si="96"/>
        <v>0</v>
      </c>
      <c r="K245" s="86">
        <f t="shared" si="96"/>
        <v>0</v>
      </c>
      <c r="L245" s="86">
        <f t="shared" si="96"/>
        <v>0</v>
      </c>
      <c r="M245" s="86">
        <f t="shared" si="96"/>
        <v>0</v>
      </c>
      <c r="N245" s="86">
        <f t="shared" si="96"/>
        <v>0</v>
      </c>
      <c r="O245" s="86">
        <f t="shared" si="96"/>
        <v>0</v>
      </c>
      <c r="P245" s="86">
        <f t="shared" si="96"/>
        <v>0</v>
      </c>
      <c r="Q245" s="86">
        <f t="shared" si="96"/>
        <v>0</v>
      </c>
      <c r="R245" s="86">
        <f t="shared" si="96"/>
        <v>0</v>
      </c>
      <c r="S245" s="86">
        <f t="shared" ref="S245:AE245" si="97">SUM(S210:S241)+S242</f>
        <v>0</v>
      </c>
      <c r="T245" s="86">
        <f t="shared" si="97"/>
        <v>0</v>
      </c>
      <c r="U245" s="86">
        <f t="shared" si="97"/>
        <v>0</v>
      </c>
      <c r="V245" s="86">
        <f t="shared" si="97"/>
        <v>0</v>
      </c>
      <c r="W245" s="86">
        <f t="shared" si="97"/>
        <v>0</v>
      </c>
      <c r="X245" s="86">
        <f t="shared" si="97"/>
        <v>0</v>
      </c>
      <c r="Y245" s="86">
        <f t="shared" si="97"/>
        <v>0</v>
      </c>
      <c r="Z245" s="86">
        <f t="shared" si="97"/>
        <v>0</v>
      </c>
      <c r="AA245" s="86">
        <f t="shared" si="97"/>
        <v>0</v>
      </c>
      <c r="AB245" s="86">
        <f t="shared" si="97"/>
        <v>0</v>
      </c>
      <c r="AC245" s="86">
        <f t="shared" si="97"/>
        <v>0</v>
      </c>
      <c r="AD245" s="86">
        <f t="shared" si="97"/>
        <v>0</v>
      </c>
      <c r="AE245" s="86">
        <f t="shared" si="97"/>
        <v>0</v>
      </c>
      <c r="AF245" s="87"/>
      <c r="AH245" s="83"/>
      <c r="AI245" s="83"/>
      <c r="BB245" s="118">
        <f>SUM(BB211:BB244)</f>
        <v>0</v>
      </c>
    </row>
    <row r="246" spans="1:59" s="62" customFormat="1" outlineLevel="1" x14ac:dyDescent="0.25">
      <c r="B246" s="81"/>
      <c r="C246" s="85"/>
      <c r="D246" s="82"/>
      <c r="E246" s="82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117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H246" s="83"/>
      <c r="AI246" s="83"/>
      <c r="BB246" s="101"/>
    </row>
    <row r="247" spans="1:59" s="62" customFormat="1" outlineLevel="1" x14ac:dyDescent="0.25">
      <c r="A247" s="62" t="s">
        <v>973</v>
      </c>
      <c r="B247" s="88" t="s">
        <v>974</v>
      </c>
      <c r="C247" s="85"/>
      <c r="D247" s="82"/>
      <c r="E247" s="82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117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H247" s="83"/>
      <c r="AI247" s="83"/>
      <c r="BB247" s="101"/>
    </row>
    <row r="248" spans="1:59" s="62" customFormat="1" outlineLevel="1" x14ac:dyDescent="0.25">
      <c r="A248" s="62" t="str">
        <f t="shared" ref="A248:A301" si="98">+$A$4&amp;$A$247&amp;B248</f>
        <v>MURREYSMULTI-FAMILY20MOCPU</v>
      </c>
      <c r="B248" s="81" t="s">
        <v>975</v>
      </c>
      <c r="C248" s="81" t="s">
        <v>976</v>
      </c>
      <c r="D248" s="82">
        <v>15.76</v>
      </c>
      <c r="E248" s="82">
        <v>15.79</v>
      </c>
      <c r="F248" s="83">
        <v>0</v>
      </c>
      <c r="G248" s="83">
        <v>0</v>
      </c>
      <c r="H248" s="83">
        <v>0</v>
      </c>
      <c r="I248" s="83">
        <v>0</v>
      </c>
      <c r="J248" s="83">
        <v>0</v>
      </c>
      <c r="K248" s="83">
        <v>0</v>
      </c>
      <c r="L248" s="83">
        <v>0</v>
      </c>
      <c r="M248" s="83">
        <v>0</v>
      </c>
      <c r="N248" s="83">
        <v>0</v>
      </c>
      <c r="O248" s="83">
        <v>0</v>
      </c>
      <c r="P248" s="83">
        <v>0</v>
      </c>
      <c r="Q248" s="83">
        <v>0</v>
      </c>
      <c r="R248" s="116">
        <f t="shared" ref="R248:R301" si="99">+SUM(F248:Q248)</f>
        <v>0</v>
      </c>
      <c r="S248" s="83">
        <f t="shared" ref="S248:T263" si="100">+IFERROR(F248/$D248,0)</f>
        <v>0</v>
      </c>
      <c r="T248" s="83">
        <f t="shared" si="100"/>
        <v>0</v>
      </c>
      <c r="U248" s="83">
        <f t="shared" ref="U248:AD263" si="101">+IFERROR(H248/$E248,0)</f>
        <v>0</v>
      </c>
      <c r="V248" s="83">
        <f t="shared" si="101"/>
        <v>0</v>
      </c>
      <c r="W248" s="83">
        <f t="shared" si="101"/>
        <v>0</v>
      </c>
      <c r="X248" s="83">
        <f t="shared" si="101"/>
        <v>0</v>
      </c>
      <c r="Y248" s="83">
        <f t="shared" si="101"/>
        <v>0</v>
      </c>
      <c r="Z248" s="83">
        <f t="shared" si="101"/>
        <v>0</v>
      </c>
      <c r="AA248" s="83">
        <f t="shared" si="101"/>
        <v>0</v>
      </c>
      <c r="AB248" s="83">
        <f t="shared" si="101"/>
        <v>0</v>
      </c>
      <c r="AC248" s="83">
        <f t="shared" si="101"/>
        <v>0</v>
      </c>
      <c r="AD248" s="83">
        <f t="shared" si="101"/>
        <v>0</v>
      </c>
      <c r="AE248" s="83">
        <f t="shared" ref="AE248:AE301" si="102">+SUM(S248:AD248)/$AB$2</f>
        <v>0</v>
      </c>
      <c r="AF248" s="83"/>
      <c r="AH248" s="83"/>
      <c r="AI248" s="83"/>
      <c r="BB248" s="101">
        <f t="shared" si="94"/>
        <v>0</v>
      </c>
      <c r="BD248" s="112">
        <f t="shared" ref="BD248:BD301" si="103">ROUND(E248*(1+$BF$4),2)</f>
        <v>15.86</v>
      </c>
      <c r="BE248" s="136">
        <f t="shared" ref="BE248:BE301" si="104">BD248*AE248*12</f>
        <v>0</v>
      </c>
      <c r="BF248" s="137">
        <f t="shared" ref="BF248:BF301" si="105">+BE248-BB248</f>
        <v>0</v>
      </c>
      <c r="BG248" s="113">
        <f t="shared" ref="BG248:BG301" si="106">IFERROR(+BF248/BB248,0)</f>
        <v>0</v>
      </c>
    </row>
    <row r="249" spans="1:59" s="62" customFormat="1" outlineLevel="1" x14ac:dyDescent="0.25">
      <c r="A249" s="62" t="str">
        <f t="shared" si="98"/>
        <v>MURREYSMULTI-FAMILY20MW1N</v>
      </c>
      <c r="B249" s="81" t="s">
        <v>977</v>
      </c>
      <c r="C249" s="81" t="s">
        <v>978</v>
      </c>
      <c r="D249" s="82">
        <v>18.63</v>
      </c>
      <c r="E249" s="82">
        <v>18.739999999999998</v>
      </c>
      <c r="F249" s="83">
        <v>0</v>
      </c>
      <c r="G249" s="83">
        <v>0</v>
      </c>
      <c r="H249" s="83">
        <v>0</v>
      </c>
      <c r="I249" s="83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  <c r="Q249" s="83">
        <v>0</v>
      </c>
      <c r="R249" s="116">
        <f t="shared" si="99"/>
        <v>0</v>
      </c>
      <c r="S249" s="83">
        <f t="shared" si="100"/>
        <v>0</v>
      </c>
      <c r="T249" s="83">
        <f t="shared" si="100"/>
        <v>0</v>
      </c>
      <c r="U249" s="83">
        <f t="shared" si="101"/>
        <v>0</v>
      </c>
      <c r="V249" s="83">
        <f t="shared" si="101"/>
        <v>0</v>
      </c>
      <c r="W249" s="83">
        <f t="shared" si="101"/>
        <v>0</v>
      </c>
      <c r="X249" s="83">
        <f t="shared" si="101"/>
        <v>0</v>
      </c>
      <c r="Y249" s="83">
        <f t="shared" si="101"/>
        <v>0</v>
      </c>
      <c r="Z249" s="83">
        <f t="shared" si="101"/>
        <v>0</v>
      </c>
      <c r="AA249" s="83">
        <f t="shared" si="101"/>
        <v>0</v>
      </c>
      <c r="AB249" s="83">
        <f t="shared" si="101"/>
        <v>0</v>
      </c>
      <c r="AC249" s="83">
        <f t="shared" si="101"/>
        <v>0</v>
      </c>
      <c r="AD249" s="83">
        <f t="shared" si="101"/>
        <v>0</v>
      </c>
      <c r="AE249" s="83">
        <f t="shared" si="102"/>
        <v>0</v>
      </c>
      <c r="AF249" s="83"/>
      <c r="AH249" s="83"/>
      <c r="AI249" s="83"/>
      <c r="BB249" s="101">
        <f t="shared" si="94"/>
        <v>0</v>
      </c>
      <c r="BD249" s="112">
        <f t="shared" si="103"/>
        <v>18.829999999999998</v>
      </c>
      <c r="BE249" s="136">
        <f t="shared" si="104"/>
        <v>0</v>
      </c>
      <c r="BF249" s="137">
        <f t="shared" si="105"/>
        <v>0</v>
      </c>
      <c r="BG249" s="113">
        <f t="shared" si="106"/>
        <v>0</v>
      </c>
    </row>
    <row r="250" spans="1:59" s="62" customFormat="1" outlineLevel="1" x14ac:dyDescent="0.25">
      <c r="A250" s="62" t="str">
        <f t="shared" si="98"/>
        <v>MURREYSMULTI-FAMILY32MW1</v>
      </c>
      <c r="B250" s="81" t="s">
        <v>979</v>
      </c>
      <c r="C250" s="81" t="s">
        <v>980</v>
      </c>
      <c r="D250" s="82">
        <v>0</v>
      </c>
      <c r="E250" s="82">
        <v>0</v>
      </c>
      <c r="F250" s="83">
        <v>0</v>
      </c>
      <c r="G250" s="83">
        <v>0</v>
      </c>
      <c r="H250" s="83">
        <v>0</v>
      </c>
      <c r="I250" s="83">
        <v>0</v>
      </c>
      <c r="J250" s="83">
        <v>0</v>
      </c>
      <c r="K250" s="83">
        <v>0</v>
      </c>
      <c r="L250" s="83">
        <v>0</v>
      </c>
      <c r="M250" s="83">
        <v>0</v>
      </c>
      <c r="N250" s="83">
        <v>0</v>
      </c>
      <c r="O250" s="83">
        <v>0</v>
      </c>
      <c r="P250" s="83">
        <v>0</v>
      </c>
      <c r="Q250" s="83">
        <v>0</v>
      </c>
      <c r="R250" s="116">
        <f t="shared" si="99"/>
        <v>0</v>
      </c>
      <c r="S250" s="83">
        <f t="shared" si="100"/>
        <v>0</v>
      </c>
      <c r="T250" s="83">
        <f t="shared" si="100"/>
        <v>0</v>
      </c>
      <c r="U250" s="83">
        <f t="shared" si="101"/>
        <v>0</v>
      </c>
      <c r="V250" s="83">
        <f t="shared" si="101"/>
        <v>0</v>
      </c>
      <c r="W250" s="83">
        <f t="shared" si="101"/>
        <v>0</v>
      </c>
      <c r="X250" s="83">
        <f t="shared" si="101"/>
        <v>0</v>
      </c>
      <c r="Y250" s="83">
        <f t="shared" si="101"/>
        <v>0</v>
      </c>
      <c r="Z250" s="83">
        <f t="shared" si="101"/>
        <v>0</v>
      </c>
      <c r="AA250" s="83">
        <f t="shared" si="101"/>
        <v>0</v>
      </c>
      <c r="AB250" s="83">
        <f t="shared" si="101"/>
        <v>0</v>
      </c>
      <c r="AC250" s="83">
        <f t="shared" si="101"/>
        <v>0</v>
      </c>
      <c r="AD250" s="83">
        <f t="shared" si="101"/>
        <v>0</v>
      </c>
      <c r="AE250" s="83">
        <f t="shared" si="102"/>
        <v>0</v>
      </c>
      <c r="AF250" s="83"/>
      <c r="AH250" s="83"/>
      <c r="AI250" s="83"/>
      <c r="BB250" s="101">
        <f t="shared" si="94"/>
        <v>0</v>
      </c>
      <c r="BD250" s="112">
        <f t="shared" si="103"/>
        <v>0</v>
      </c>
      <c r="BE250" s="136">
        <f t="shared" si="104"/>
        <v>0</v>
      </c>
      <c r="BF250" s="137">
        <f t="shared" si="105"/>
        <v>0</v>
      </c>
      <c r="BG250" s="113">
        <f t="shared" si="106"/>
        <v>0</v>
      </c>
    </row>
    <row r="251" spans="1:59" s="62" customFormat="1" outlineLevel="1" x14ac:dyDescent="0.25">
      <c r="A251" s="62" t="str">
        <f t="shared" si="98"/>
        <v>MURREYSMULTI-FAMILY32MW1NR</v>
      </c>
      <c r="B251" s="81" t="s">
        <v>981</v>
      </c>
      <c r="C251" s="81" t="s">
        <v>982</v>
      </c>
      <c r="D251" s="82">
        <v>0</v>
      </c>
      <c r="E251" s="82">
        <v>0</v>
      </c>
      <c r="F251" s="83">
        <v>0</v>
      </c>
      <c r="G251" s="83">
        <v>0</v>
      </c>
      <c r="H251" s="83">
        <v>0</v>
      </c>
      <c r="I251" s="83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  <c r="Q251" s="83">
        <v>0</v>
      </c>
      <c r="R251" s="116">
        <f t="shared" si="99"/>
        <v>0</v>
      </c>
      <c r="S251" s="83">
        <f t="shared" si="100"/>
        <v>0</v>
      </c>
      <c r="T251" s="83">
        <f t="shared" si="100"/>
        <v>0</v>
      </c>
      <c r="U251" s="83">
        <f t="shared" si="101"/>
        <v>0</v>
      </c>
      <c r="V251" s="83">
        <f t="shared" si="101"/>
        <v>0</v>
      </c>
      <c r="W251" s="83">
        <f t="shared" si="101"/>
        <v>0</v>
      </c>
      <c r="X251" s="83">
        <f t="shared" si="101"/>
        <v>0</v>
      </c>
      <c r="Y251" s="83">
        <f t="shared" si="101"/>
        <v>0</v>
      </c>
      <c r="Z251" s="83">
        <f t="shared" si="101"/>
        <v>0</v>
      </c>
      <c r="AA251" s="83">
        <f t="shared" si="101"/>
        <v>0</v>
      </c>
      <c r="AB251" s="83">
        <f t="shared" si="101"/>
        <v>0</v>
      </c>
      <c r="AC251" s="83">
        <f t="shared" si="101"/>
        <v>0</v>
      </c>
      <c r="AD251" s="83">
        <f t="shared" si="101"/>
        <v>0</v>
      </c>
      <c r="AE251" s="83">
        <f t="shared" si="102"/>
        <v>0</v>
      </c>
      <c r="AF251" s="83"/>
      <c r="AH251" s="83"/>
      <c r="AI251" s="83"/>
      <c r="BB251" s="101">
        <f t="shared" si="94"/>
        <v>0</v>
      </c>
      <c r="BD251" s="112">
        <f t="shared" si="103"/>
        <v>0</v>
      </c>
      <c r="BE251" s="136">
        <f t="shared" si="104"/>
        <v>0</v>
      </c>
      <c r="BF251" s="137">
        <f t="shared" si="105"/>
        <v>0</v>
      </c>
      <c r="BG251" s="113">
        <f t="shared" si="106"/>
        <v>0</v>
      </c>
    </row>
    <row r="252" spans="1:59" s="62" customFormat="1" outlineLevel="1" x14ac:dyDescent="0.25">
      <c r="A252" s="62" t="str">
        <f t="shared" si="98"/>
        <v>MURREYSMULTI-FAMILY32MW2</v>
      </c>
      <c r="B252" s="81" t="s">
        <v>983</v>
      </c>
      <c r="C252" s="81" t="s">
        <v>984</v>
      </c>
      <c r="D252" s="82">
        <v>0</v>
      </c>
      <c r="E252" s="82">
        <v>0</v>
      </c>
      <c r="F252" s="83">
        <v>0</v>
      </c>
      <c r="G252" s="83">
        <v>0</v>
      </c>
      <c r="H252" s="83">
        <v>0</v>
      </c>
      <c r="I252" s="83">
        <v>0</v>
      </c>
      <c r="J252" s="83">
        <v>0</v>
      </c>
      <c r="K252" s="83">
        <v>0</v>
      </c>
      <c r="L252" s="83">
        <v>0</v>
      </c>
      <c r="M252" s="83">
        <v>0</v>
      </c>
      <c r="N252" s="83">
        <v>0</v>
      </c>
      <c r="O252" s="83">
        <v>0</v>
      </c>
      <c r="P252" s="83">
        <v>0</v>
      </c>
      <c r="Q252" s="83">
        <v>0</v>
      </c>
      <c r="R252" s="116">
        <f t="shared" si="99"/>
        <v>0</v>
      </c>
      <c r="S252" s="83">
        <f t="shared" si="100"/>
        <v>0</v>
      </c>
      <c r="T252" s="83">
        <f t="shared" si="100"/>
        <v>0</v>
      </c>
      <c r="U252" s="83">
        <f t="shared" si="101"/>
        <v>0</v>
      </c>
      <c r="V252" s="83">
        <f t="shared" si="101"/>
        <v>0</v>
      </c>
      <c r="W252" s="83">
        <f t="shared" si="101"/>
        <v>0</v>
      </c>
      <c r="X252" s="83">
        <f t="shared" si="101"/>
        <v>0</v>
      </c>
      <c r="Y252" s="83">
        <f t="shared" si="101"/>
        <v>0</v>
      </c>
      <c r="Z252" s="83">
        <f t="shared" si="101"/>
        <v>0</v>
      </c>
      <c r="AA252" s="83">
        <f t="shared" si="101"/>
        <v>0</v>
      </c>
      <c r="AB252" s="83">
        <f t="shared" si="101"/>
        <v>0</v>
      </c>
      <c r="AC252" s="83">
        <f t="shared" si="101"/>
        <v>0</v>
      </c>
      <c r="AD252" s="83">
        <f t="shared" si="101"/>
        <v>0</v>
      </c>
      <c r="AE252" s="83">
        <f t="shared" si="102"/>
        <v>0</v>
      </c>
      <c r="AF252" s="83"/>
      <c r="AH252" s="83"/>
      <c r="AI252" s="83"/>
      <c r="BB252" s="101">
        <f t="shared" si="94"/>
        <v>0</v>
      </c>
      <c r="BD252" s="112">
        <f t="shared" si="103"/>
        <v>0</v>
      </c>
      <c r="BE252" s="136">
        <f t="shared" si="104"/>
        <v>0</v>
      </c>
      <c r="BF252" s="137">
        <f t="shared" si="105"/>
        <v>0</v>
      </c>
      <c r="BG252" s="113">
        <f t="shared" si="106"/>
        <v>0</v>
      </c>
    </row>
    <row r="253" spans="1:59" s="62" customFormat="1" outlineLevel="1" x14ac:dyDescent="0.25">
      <c r="A253" s="62" t="str">
        <f t="shared" si="98"/>
        <v>MURREYSMULTI-FAMILY32MW3</v>
      </c>
      <c r="B253" s="81" t="s">
        <v>985</v>
      </c>
      <c r="C253" s="81" t="s">
        <v>986</v>
      </c>
      <c r="D253" s="82">
        <v>0</v>
      </c>
      <c r="E253" s="82">
        <v>0</v>
      </c>
      <c r="F253" s="83">
        <v>0</v>
      </c>
      <c r="G253" s="83">
        <v>0</v>
      </c>
      <c r="H253" s="83">
        <v>0</v>
      </c>
      <c r="I253" s="83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  <c r="Q253" s="83">
        <v>0</v>
      </c>
      <c r="R253" s="116">
        <f t="shared" si="99"/>
        <v>0</v>
      </c>
      <c r="S253" s="83">
        <f t="shared" si="100"/>
        <v>0</v>
      </c>
      <c r="T253" s="83">
        <f t="shared" si="100"/>
        <v>0</v>
      </c>
      <c r="U253" s="83">
        <f t="shared" si="101"/>
        <v>0</v>
      </c>
      <c r="V253" s="83">
        <f t="shared" si="101"/>
        <v>0</v>
      </c>
      <c r="W253" s="83">
        <f t="shared" si="101"/>
        <v>0</v>
      </c>
      <c r="X253" s="83">
        <f t="shared" si="101"/>
        <v>0</v>
      </c>
      <c r="Y253" s="83">
        <f t="shared" si="101"/>
        <v>0</v>
      </c>
      <c r="Z253" s="83">
        <f t="shared" si="101"/>
        <v>0</v>
      </c>
      <c r="AA253" s="83">
        <f t="shared" si="101"/>
        <v>0</v>
      </c>
      <c r="AB253" s="83">
        <f t="shared" si="101"/>
        <v>0</v>
      </c>
      <c r="AC253" s="83">
        <f t="shared" si="101"/>
        <v>0</v>
      </c>
      <c r="AD253" s="83">
        <f t="shared" si="101"/>
        <v>0</v>
      </c>
      <c r="AE253" s="83">
        <f t="shared" si="102"/>
        <v>0</v>
      </c>
      <c r="AF253" s="83"/>
      <c r="AH253" s="83"/>
      <c r="AI253" s="83"/>
      <c r="BB253" s="101">
        <f t="shared" si="94"/>
        <v>0</v>
      </c>
      <c r="BD253" s="112">
        <f t="shared" si="103"/>
        <v>0</v>
      </c>
      <c r="BE253" s="136">
        <f t="shared" si="104"/>
        <v>0</v>
      </c>
      <c r="BF253" s="137">
        <f t="shared" si="105"/>
        <v>0</v>
      </c>
      <c r="BG253" s="113">
        <f t="shared" si="106"/>
        <v>0</v>
      </c>
    </row>
    <row r="254" spans="1:59" s="62" customFormat="1" outlineLevel="1" x14ac:dyDescent="0.25">
      <c r="A254" s="62" t="str">
        <f t="shared" si="98"/>
        <v>MURREYSMULTI-FAMILY32MW3NR</v>
      </c>
      <c r="B254" s="81" t="s">
        <v>987</v>
      </c>
      <c r="C254" s="81" t="s">
        <v>988</v>
      </c>
      <c r="D254" s="82">
        <v>0</v>
      </c>
      <c r="E254" s="82">
        <v>0</v>
      </c>
      <c r="F254" s="83">
        <v>0</v>
      </c>
      <c r="G254" s="83">
        <v>0</v>
      </c>
      <c r="H254" s="83">
        <v>0</v>
      </c>
      <c r="I254" s="83">
        <v>0</v>
      </c>
      <c r="J254" s="83">
        <v>0</v>
      </c>
      <c r="K254" s="83">
        <v>0</v>
      </c>
      <c r="L254" s="83">
        <v>0</v>
      </c>
      <c r="M254" s="83">
        <v>0</v>
      </c>
      <c r="N254" s="83">
        <v>0</v>
      </c>
      <c r="O254" s="83">
        <v>0</v>
      </c>
      <c r="P254" s="83">
        <v>0</v>
      </c>
      <c r="Q254" s="83">
        <v>0</v>
      </c>
      <c r="R254" s="116">
        <f t="shared" si="99"/>
        <v>0</v>
      </c>
      <c r="S254" s="83">
        <f t="shared" si="100"/>
        <v>0</v>
      </c>
      <c r="T254" s="83">
        <f t="shared" si="100"/>
        <v>0</v>
      </c>
      <c r="U254" s="83">
        <f t="shared" si="101"/>
        <v>0</v>
      </c>
      <c r="V254" s="83">
        <f t="shared" si="101"/>
        <v>0</v>
      </c>
      <c r="W254" s="83">
        <f t="shared" si="101"/>
        <v>0</v>
      </c>
      <c r="X254" s="83">
        <f t="shared" si="101"/>
        <v>0</v>
      </c>
      <c r="Y254" s="83">
        <f t="shared" si="101"/>
        <v>0</v>
      </c>
      <c r="Z254" s="83">
        <f t="shared" si="101"/>
        <v>0</v>
      </c>
      <c r="AA254" s="83">
        <f t="shared" si="101"/>
        <v>0</v>
      </c>
      <c r="AB254" s="83">
        <f t="shared" si="101"/>
        <v>0</v>
      </c>
      <c r="AC254" s="83">
        <f t="shared" si="101"/>
        <v>0</v>
      </c>
      <c r="AD254" s="83">
        <f t="shared" si="101"/>
        <v>0</v>
      </c>
      <c r="AE254" s="83">
        <f t="shared" si="102"/>
        <v>0</v>
      </c>
      <c r="AF254" s="83"/>
      <c r="AH254" s="83"/>
      <c r="AI254" s="83"/>
      <c r="BB254" s="101">
        <f t="shared" si="94"/>
        <v>0</v>
      </c>
      <c r="BD254" s="112">
        <f t="shared" si="103"/>
        <v>0</v>
      </c>
      <c r="BE254" s="136">
        <f t="shared" si="104"/>
        <v>0</v>
      </c>
      <c r="BF254" s="137">
        <f t="shared" si="105"/>
        <v>0</v>
      </c>
      <c r="BG254" s="113">
        <f t="shared" si="106"/>
        <v>0</v>
      </c>
    </row>
    <row r="255" spans="1:59" s="62" customFormat="1" outlineLevel="1" x14ac:dyDescent="0.25">
      <c r="A255" s="62" t="str">
        <f t="shared" si="98"/>
        <v>MURREYSMULTI-FAMILY32MW4</v>
      </c>
      <c r="B255" s="81" t="s">
        <v>989</v>
      </c>
      <c r="C255" s="81" t="s">
        <v>990</v>
      </c>
      <c r="D255" s="82">
        <v>0</v>
      </c>
      <c r="E255" s="82">
        <v>0</v>
      </c>
      <c r="F255" s="83">
        <v>0</v>
      </c>
      <c r="G255" s="83">
        <v>0</v>
      </c>
      <c r="H255" s="83">
        <v>0</v>
      </c>
      <c r="I255" s="83">
        <v>0</v>
      </c>
      <c r="J255" s="83">
        <v>0</v>
      </c>
      <c r="K255" s="83">
        <v>0</v>
      </c>
      <c r="L255" s="83">
        <v>0</v>
      </c>
      <c r="M255" s="83">
        <v>0</v>
      </c>
      <c r="N255" s="83">
        <v>0</v>
      </c>
      <c r="O255" s="83">
        <v>0</v>
      </c>
      <c r="P255" s="83">
        <v>0</v>
      </c>
      <c r="Q255" s="83">
        <v>0</v>
      </c>
      <c r="R255" s="116">
        <f t="shared" si="99"/>
        <v>0</v>
      </c>
      <c r="S255" s="83">
        <f t="shared" si="100"/>
        <v>0</v>
      </c>
      <c r="T255" s="83">
        <f t="shared" si="100"/>
        <v>0</v>
      </c>
      <c r="U255" s="83">
        <f t="shared" si="101"/>
        <v>0</v>
      </c>
      <c r="V255" s="83">
        <f t="shared" si="101"/>
        <v>0</v>
      </c>
      <c r="W255" s="83">
        <f t="shared" si="101"/>
        <v>0</v>
      </c>
      <c r="X255" s="83">
        <f t="shared" si="101"/>
        <v>0</v>
      </c>
      <c r="Y255" s="83">
        <f t="shared" si="101"/>
        <v>0</v>
      </c>
      <c r="Z255" s="83">
        <f t="shared" si="101"/>
        <v>0</v>
      </c>
      <c r="AA255" s="83">
        <f t="shared" si="101"/>
        <v>0</v>
      </c>
      <c r="AB255" s="83">
        <f t="shared" si="101"/>
        <v>0</v>
      </c>
      <c r="AC255" s="83">
        <f t="shared" si="101"/>
        <v>0</v>
      </c>
      <c r="AD255" s="83">
        <f t="shared" si="101"/>
        <v>0</v>
      </c>
      <c r="AE255" s="83">
        <f t="shared" si="102"/>
        <v>0</v>
      </c>
      <c r="AF255" s="83"/>
      <c r="AH255" s="83"/>
      <c r="AI255" s="83"/>
      <c r="BB255" s="101">
        <f t="shared" si="94"/>
        <v>0</v>
      </c>
      <c r="BD255" s="112">
        <f t="shared" si="103"/>
        <v>0</v>
      </c>
      <c r="BE255" s="136">
        <f t="shared" si="104"/>
        <v>0</v>
      </c>
      <c r="BF255" s="137">
        <f t="shared" si="105"/>
        <v>0</v>
      </c>
      <c r="BG255" s="113">
        <f t="shared" si="106"/>
        <v>0</v>
      </c>
    </row>
    <row r="256" spans="1:59" s="62" customFormat="1" outlineLevel="1" x14ac:dyDescent="0.25">
      <c r="A256" s="62" t="str">
        <f t="shared" si="98"/>
        <v>MURREYSMULTI-FAMILY32MW4NR</v>
      </c>
      <c r="B256" s="81" t="s">
        <v>991</v>
      </c>
      <c r="C256" s="81" t="s">
        <v>992</v>
      </c>
      <c r="D256" s="82">
        <v>0</v>
      </c>
      <c r="E256" s="82">
        <v>0</v>
      </c>
      <c r="F256" s="83">
        <v>0</v>
      </c>
      <c r="G256" s="83">
        <v>0</v>
      </c>
      <c r="H256" s="83">
        <v>0</v>
      </c>
      <c r="I256" s="83">
        <v>0</v>
      </c>
      <c r="J256" s="83">
        <v>0</v>
      </c>
      <c r="K256" s="83">
        <v>0</v>
      </c>
      <c r="L256" s="83">
        <v>0</v>
      </c>
      <c r="M256" s="83">
        <v>0</v>
      </c>
      <c r="N256" s="83">
        <v>0</v>
      </c>
      <c r="O256" s="83">
        <v>0</v>
      </c>
      <c r="P256" s="83">
        <v>0</v>
      </c>
      <c r="Q256" s="83">
        <v>0</v>
      </c>
      <c r="R256" s="116">
        <f t="shared" si="99"/>
        <v>0</v>
      </c>
      <c r="S256" s="83">
        <f t="shared" si="100"/>
        <v>0</v>
      </c>
      <c r="T256" s="83">
        <f t="shared" si="100"/>
        <v>0</v>
      </c>
      <c r="U256" s="83">
        <f t="shared" si="101"/>
        <v>0</v>
      </c>
      <c r="V256" s="83">
        <f t="shared" si="101"/>
        <v>0</v>
      </c>
      <c r="W256" s="83">
        <f t="shared" si="101"/>
        <v>0</v>
      </c>
      <c r="X256" s="83">
        <f t="shared" si="101"/>
        <v>0</v>
      </c>
      <c r="Y256" s="83">
        <f t="shared" si="101"/>
        <v>0</v>
      </c>
      <c r="Z256" s="83">
        <f t="shared" si="101"/>
        <v>0</v>
      </c>
      <c r="AA256" s="83">
        <f t="shared" si="101"/>
        <v>0</v>
      </c>
      <c r="AB256" s="83">
        <f t="shared" si="101"/>
        <v>0</v>
      </c>
      <c r="AC256" s="83">
        <f t="shared" si="101"/>
        <v>0</v>
      </c>
      <c r="AD256" s="83">
        <f t="shared" si="101"/>
        <v>0</v>
      </c>
      <c r="AE256" s="83">
        <f t="shared" si="102"/>
        <v>0</v>
      </c>
      <c r="AF256" s="83"/>
      <c r="AH256" s="83"/>
      <c r="AI256" s="83"/>
      <c r="BB256" s="101">
        <f t="shared" si="94"/>
        <v>0</v>
      </c>
      <c r="BD256" s="112">
        <f t="shared" si="103"/>
        <v>0</v>
      </c>
      <c r="BE256" s="136">
        <f t="shared" si="104"/>
        <v>0</v>
      </c>
      <c r="BF256" s="137">
        <f t="shared" si="105"/>
        <v>0</v>
      </c>
      <c r="BG256" s="113">
        <f t="shared" si="106"/>
        <v>0</v>
      </c>
    </row>
    <row r="257" spans="1:59" s="62" customFormat="1" outlineLevel="1" x14ac:dyDescent="0.25">
      <c r="A257" s="62" t="str">
        <f t="shared" si="98"/>
        <v>MURREYSMULTI-FAMILY32MW5</v>
      </c>
      <c r="B257" s="81" t="s">
        <v>993</v>
      </c>
      <c r="C257" s="81" t="s">
        <v>994</v>
      </c>
      <c r="D257" s="82">
        <v>0</v>
      </c>
      <c r="E257" s="82">
        <v>0</v>
      </c>
      <c r="F257" s="83">
        <v>0</v>
      </c>
      <c r="G257" s="83">
        <v>0</v>
      </c>
      <c r="H257" s="83">
        <v>0</v>
      </c>
      <c r="I257" s="83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  <c r="Q257" s="83">
        <v>0</v>
      </c>
      <c r="R257" s="116">
        <f t="shared" si="99"/>
        <v>0</v>
      </c>
      <c r="S257" s="83">
        <f t="shared" si="100"/>
        <v>0</v>
      </c>
      <c r="T257" s="83">
        <f t="shared" si="100"/>
        <v>0</v>
      </c>
      <c r="U257" s="83">
        <f t="shared" si="101"/>
        <v>0</v>
      </c>
      <c r="V257" s="83">
        <f t="shared" si="101"/>
        <v>0</v>
      </c>
      <c r="W257" s="83">
        <f t="shared" si="101"/>
        <v>0</v>
      </c>
      <c r="X257" s="83">
        <f t="shared" si="101"/>
        <v>0</v>
      </c>
      <c r="Y257" s="83">
        <f t="shared" si="101"/>
        <v>0</v>
      </c>
      <c r="Z257" s="83">
        <f t="shared" si="101"/>
        <v>0</v>
      </c>
      <c r="AA257" s="83">
        <f t="shared" si="101"/>
        <v>0</v>
      </c>
      <c r="AB257" s="83">
        <f t="shared" si="101"/>
        <v>0</v>
      </c>
      <c r="AC257" s="83">
        <f t="shared" si="101"/>
        <v>0</v>
      </c>
      <c r="AD257" s="83">
        <f t="shared" si="101"/>
        <v>0</v>
      </c>
      <c r="AE257" s="83">
        <f t="shared" si="102"/>
        <v>0</v>
      </c>
      <c r="AF257" s="83"/>
      <c r="AH257" s="83"/>
      <c r="AI257" s="83"/>
      <c r="BB257" s="101">
        <f t="shared" si="94"/>
        <v>0</v>
      </c>
      <c r="BD257" s="112">
        <f t="shared" si="103"/>
        <v>0</v>
      </c>
      <c r="BE257" s="136">
        <f t="shared" si="104"/>
        <v>0</v>
      </c>
      <c r="BF257" s="137">
        <f t="shared" si="105"/>
        <v>0</v>
      </c>
      <c r="BG257" s="113">
        <f t="shared" si="106"/>
        <v>0</v>
      </c>
    </row>
    <row r="258" spans="1:59" s="62" customFormat="1" outlineLevel="1" x14ac:dyDescent="0.25">
      <c r="A258" s="62" t="str">
        <f t="shared" si="98"/>
        <v>MURREYSMULTI-FAMILY20MW1</v>
      </c>
      <c r="B258" s="81" t="s">
        <v>995</v>
      </c>
      <c r="C258" s="81" t="s">
        <v>996</v>
      </c>
      <c r="D258" s="82">
        <v>17.88</v>
      </c>
      <c r="E258" s="82">
        <v>17.989999999999998</v>
      </c>
      <c r="F258" s="83">
        <v>53.64</v>
      </c>
      <c r="G258" s="83">
        <v>53.64</v>
      </c>
      <c r="H258" s="83">
        <v>71.97</v>
      </c>
      <c r="I258" s="83">
        <v>94.44</v>
      </c>
      <c r="J258" s="83">
        <v>89.95</v>
      </c>
      <c r="K258" s="83">
        <v>71.959999999999994</v>
      </c>
      <c r="L258" s="83">
        <v>224.85</v>
      </c>
      <c r="M258" s="83">
        <v>270.60000000000002</v>
      </c>
      <c r="N258" s="83">
        <v>270.60000000000002</v>
      </c>
      <c r="O258" s="83">
        <v>270.60000000000002</v>
      </c>
      <c r="P258" s="83">
        <v>288.64</v>
      </c>
      <c r="Q258" s="83">
        <v>288.64</v>
      </c>
      <c r="R258" s="116">
        <f t="shared" si="99"/>
        <v>2049.5299999999997</v>
      </c>
      <c r="S258" s="83">
        <f t="shared" si="100"/>
        <v>3</v>
      </c>
      <c r="T258" s="83">
        <f t="shared" si="100"/>
        <v>3</v>
      </c>
      <c r="U258" s="83">
        <f t="shared" si="101"/>
        <v>4.0005558643690939</v>
      </c>
      <c r="V258" s="83">
        <f t="shared" si="101"/>
        <v>5.2495831017231795</v>
      </c>
      <c r="W258" s="83">
        <f t="shared" si="101"/>
        <v>5.0000000000000009</v>
      </c>
      <c r="X258" s="83">
        <f t="shared" si="101"/>
        <v>4</v>
      </c>
      <c r="Y258" s="83">
        <f t="shared" si="101"/>
        <v>12.498610339077265</v>
      </c>
      <c r="Z258" s="83">
        <f t="shared" si="101"/>
        <v>15.041689827682049</v>
      </c>
      <c r="AA258" s="83">
        <f t="shared" si="101"/>
        <v>15.041689827682049</v>
      </c>
      <c r="AB258" s="83">
        <f t="shared" si="101"/>
        <v>15.041689827682049</v>
      </c>
      <c r="AC258" s="83">
        <f t="shared" si="101"/>
        <v>16.044469149527515</v>
      </c>
      <c r="AD258" s="83">
        <f t="shared" si="101"/>
        <v>16.044469149527515</v>
      </c>
      <c r="AE258" s="83">
        <f t="shared" si="102"/>
        <v>9.4968964239392264</v>
      </c>
      <c r="AF258" s="83"/>
      <c r="AH258" s="83"/>
      <c r="AI258" s="83"/>
      <c r="BB258" s="101">
        <f t="shared" si="94"/>
        <v>2050.19</v>
      </c>
      <c r="BD258" s="112">
        <f t="shared" si="103"/>
        <v>18.07</v>
      </c>
      <c r="BE258" s="136">
        <f t="shared" si="104"/>
        <v>2059.3070205669819</v>
      </c>
      <c r="BF258" s="137">
        <f t="shared" si="105"/>
        <v>9.1170205669818642</v>
      </c>
      <c r="BG258" s="113">
        <f t="shared" si="106"/>
        <v>4.4469149527516299E-3</v>
      </c>
    </row>
    <row r="259" spans="1:59" s="62" customFormat="1" outlineLevel="1" x14ac:dyDescent="0.25">
      <c r="A259" s="62" t="str">
        <f t="shared" si="98"/>
        <v>MURREYSMULTI-FAMILY35MOCPU</v>
      </c>
      <c r="B259" s="81" t="s">
        <v>997</v>
      </c>
      <c r="C259" s="81" t="s">
        <v>998</v>
      </c>
      <c r="D259" s="82">
        <v>19.63</v>
      </c>
      <c r="E259" s="82">
        <v>19.68</v>
      </c>
      <c r="F259" s="83">
        <v>0</v>
      </c>
      <c r="G259" s="83">
        <v>0</v>
      </c>
      <c r="H259" s="83">
        <v>0</v>
      </c>
      <c r="I259" s="83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83">
        <v>0</v>
      </c>
      <c r="Q259" s="83">
        <v>0</v>
      </c>
      <c r="R259" s="116">
        <f t="shared" si="99"/>
        <v>0</v>
      </c>
      <c r="S259" s="83">
        <f t="shared" si="100"/>
        <v>0</v>
      </c>
      <c r="T259" s="83">
        <f t="shared" si="100"/>
        <v>0</v>
      </c>
      <c r="U259" s="83">
        <f t="shared" si="101"/>
        <v>0</v>
      </c>
      <c r="V259" s="83">
        <f t="shared" si="101"/>
        <v>0</v>
      </c>
      <c r="W259" s="83">
        <f t="shared" si="101"/>
        <v>0</v>
      </c>
      <c r="X259" s="83">
        <f t="shared" si="101"/>
        <v>0</v>
      </c>
      <c r="Y259" s="83">
        <f t="shared" si="101"/>
        <v>0</v>
      </c>
      <c r="Z259" s="83">
        <f t="shared" si="101"/>
        <v>0</v>
      </c>
      <c r="AA259" s="83">
        <f t="shared" si="101"/>
        <v>0</v>
      </c>
      <c r="AB259" s="83">
        <f t="shared" si="101"/>
        <v>0</v>
      </c>
      <c r="AC259" s="83">
        <f t="shared" si="101"/>
        <v>0</v>
      </c>
      <c r="AD259" s="83">
        <f t="shared" si="101"/>
        <v>0</v>
      </c>
      <c r="AE259" s="83">
        <f t="shared" si="102"/>
        <v>0</v>
      </c>
      <c r="AF259" s="83"/>
      <c r="AH259" s="83"/>
      <c r="AI259" s="83"/>
      <c r="BB259" s="101">
        <f t="shared" si="94"/>
        <v>0</v>
      </c>
      <c r="BD259" s="112">
        <f t="shared" si="103"/>
        <v>19.77</v>
      </c>
      <c r="BE259" s="136">
        <f t="shared" si="104"/>
        <v>0</v>
      </c>
      <c r="BF259" s="137">
        <f t="shared" si="105"/>
        <v>0</v>
      </c>
      <c r="BG259" s="113">
        <f t="shared" si="106"/>
        <v>0</v>
      </c>
    </row>
    <row r="260" spans="1:59" s="62" customFormat="1" outlineLevel="1" x14ac:dyDescent="0.25">
      <c r="A260" s="62" t="str">
        <f t="shared" si="98"/>
        <v>MURREYSMULTI-FAMILY35MW1</v>
      </c>
      <c r="B260" s="81" t="s">
        <v>999</v>
      </c>
      <c r="C260" s="81" t="s">
        <v>1000</v>
      </c>
      <c r="D260" s="82">
        <v>22.69</v>
      </c>
      <c r="E260" s="82">
        <v>22.89</v>
      </c>
      <c r="F260" s="83">
        <v>13747.039999999999</v>
      </c>
      <c r="G260" s="83">
        <v>13482.9</v>
      </c>
      <c r="H260" s="83">
        <v>13894.85</v>
      </c>
      <c r="I260" s="83">
        <v>13905.67</v>
      </c>
      <c r="J260" s="83">
        <v>13808.39</v>
      </c>
      <c r="K260" s="83">
        <v>13716.89</v>
      </c>
      <c r="L260" s="83">
        <v>13613.849999999999</v>
      </c>
      <c r="M260" s="83">
        <v>13546.17</v>
      </c>
      <c r="N260" s="83">
        <v>13477.39</v>
      </c>
      <c r="O260" s="83">
        <v>13517.56</v>
      </c>
      <c r="P260" s="83">
        <v>13252.52</v>
      </c>
      <c r="Q260" s="83">
        <v>13202.009999999998</v>
      </c>
      <c r="R260" s="116">
        <f t="shared" si="99"/>
        <v>163165.24</v>
      </c>
      <c r="S260" s="83">
        <f t="shared" si="100"/>
        <v>605.86337593653582</v>
      </c>
      <c r="T260" s="83">
        <f t="shared" si="100"/>
        <v>594.22212428382545</v>
      </c>
      <c r="U260" s="83">
        <f t="shared" si="101"/>
        <v>607.02708606378326</v>
      </c>
      <c r="V260" s="83">
        <f t="shared" si="101"/>
        <v>607.49978156400175</v>
      </c>
      <c r="W260" s="83">
        <f t="shared" si="101"/>
        <v>603.24989078200088</v>
      </c>
      <c r="X260" s="83">
        <f t="shared" si="101"/>
        <v>599.25251201397987</v>
      </c>
      <c r="Y260" s="83">
        <f t="shared" si="101"/>
        <v>594.75098296199201</v>
      </c>
      <c r="Z260" s="83">
        <f t="shared" si="101"/>
        <v>591.79423328964617</v>
      </c>
      <c r="AA260" s="83">
        <f t="shared" si="101"/>
        <v>588.78942769768457</v>
      </c>
      <c r="AB260" s="83">
        <f t="shared" si="101"/>
        <v>590.54434250764518</v>
      </c>
      <c r="AC260" s="83">
        <f t="shared" si="101"/>
        <v>578.96548711227615</v>
      </c>
      <c r="AD260" s="83">
        <f t="shared" si="101"/>
        <v>576.7588466579291</v>
      </c>
      <c r="AE260" s="83">
        <f t="shared" si="102"/>
        <v>594.89317423927514</v>
      </c>
      <c r="AF260" s="83"/>
      <c r="AH260" s="83"/>
      <c r="AI260" s="83"/>
      <c r="BB260" s="101">
        <f t="shared" si="94"/>
        <v>163405.25710004411</v>
      </c>
      <c r="BD260" s="112">
        <f t="shared" si="103"/>
        <v>23</v>
      </c>
      <c r="BE260" s="136">
        <f t="shared" si="104"/>
        <v>164190.51609003995</v>
      </c>
      <c r="BF260" s="137">
        <f t="shared" si="105"/>
        <v>785.25898999584024</v>
      </c>
      <c r="BG260" s="113">
        <f t="shared" si="106"/>
        <v>4.8055919615552457E-3</v>
      </c>
    </row>
    <row r="261" spans="1:59" s="62" customFormat="1" outlineLevel="1" x14ac:dyDescent="0.25">
      <c r="A261" s="62" t="str">
        <f t="shared" si="98"/>
        <v>MURREYSMULTI-FAMILY35MW1N</v>
      </c>
      <c r="B261" s="81" t="s">
        <v>1001</v>
      </c>
      <c r="C261" s="81" t="s">
        <v>1002</v>
      </c>
      <c r="D261" s="82">
        <v>23.44</v>
      </c>
      <c r="E261" s="82">
        <v>23.64</v>
      </c>
      <c r="F261" s="83">
        <v>161.14999999999998</v>
      </c>
      <c r="G261" s="83">
        <v>164.07999999999998</v>
      </c>
      <c r="H261" s="83">
        <v>141.84</v>
      </c>
      <c r="I261" s="83">
        <v>141.84</v>
      </c>
      <c r="J261" s="83">
        <v>141.84</v>
      </c>
      <c r="K261" s="83">
        <v>189.12</v>
      </c>
      <c r="L261" s="83">
        <v>171.39</v>
      </c>
      <c r="M261" s="83">
        <v>165.9</v>
      </c>
      <c r="N261" s="83">
        <v>148.13</v>
      </c>
      <c r="O261" s="83">
        <v>136.28</v>
      </c>
      <c r="P261" s="83">
        <v>118.5</v>
      </c>
      <c r="Q261" s="83">
        <v>118.5</v>
      </c>
      <c r="R261" s="116">
        <f t="shared" si="99"/>
        <v>1798.57</v>
      </c>
      <c r="S261" s="83">
        <f t="shared" si="100"/>
        <v>6.8749999999999982</v>
      </c>
      <c r="T261" s="83">
        <f t="shared" si="100"/>
        <v>6.9999999999999991</v>
      </c>
      <c r="U261" s="83">
        <f t="shared" si="101"/>
        <v>6</v>
      </c>
      <c r="V261" s="83">
        <f t="shared" si="101"/>
        <v>6</v>
      </c>
      <c r="W261" s="83">
        <f t="shared" si="101"/>
        <v>6</v>
      </c>
      <c r="X261" s="83">
        <f t="shared" si="101"/>
        <v>8</v>
      </c>
      <c r="Y261" s="83">
        <f t="shared" si="101"/>
        <v>7.2499999999999991</v>
      </c>
      <c r="Z261" s="83">
        <f t="shared" si="101"/>
        <v>7.0177664974619294</v>
      </c>
      <c r="AA261" s="83">
        <f t="shared" si="101"/>
        <v>6.2660744500846022</v>
      </c>
      <c r="AB261" s="83">
        <f t="shared" si="101"/>
        <v>5.7648054145516072</v>
      </c>
      <c r="AC261" s="83">
        <f t="shared" si="101"/>
        <v>5.0126903553299496</v>
      </c>
      <c r="AD261" s="83">
        <f t="shared" si="101"/>
        <v>5.0126903553299496</v>
      </c>
      <c r="AE261" s="83">
        <f t="shared" si="102"/>
        <v>6.3499189227298372</v>
      </c>
      <c r="AF261" s="83"/>
      <c r="AH261" s="83"/>
      <c r="AI261" s="83"/>
      <c r="BB261" s="101">
        <f t="shared" si="94"/>
        <v>1801.3450000000003</v>
      </c>
      <c r="BD261" s="112">
        <f t="shared" si="103"/>
        <v>23.75</v>
      </c>
      <c r="BE261" s="136">
        <f t="shared" si="104"/>
        <v>1809.7268929780037</v>
      </c>
      <c r="BF261" s="137">
        <f t="shared" si="105"/>
        <v>8.3818929780034068</v>
      </c>
      <c r="BG261" s="113">
        <f t="shared" si="106"/>
        <v>4.6531302876480661E-3</v>
      </c>
    </row>
    <row r="262" spans="1:59" s="62" customFormat="1" outlineLevel="1" x14ac:dyDescent="0.25">
      <c r="A262" s="62" t="str">
        <f t="shared" si="98"/>
        <v>MURREYSMULTI-FAMILY65MW1</v>
      </c>
      <c r="B262" s="81" t="s">
        <v>1003</v>
      </c>
      <c r="C262" s="81" t="s">
        <v>1004</v>
      </c>
      <c r="D262" s="82">
        <v>35.49</v>
      </c>
      <c r="E262" s="82">
        <v>35.76</v>
      </c>
      <c r="F262" s="83">
        <v>9892.8599999999988</v>
      </c>
      <c r="G262" s="83">
        <v>9981.57</v>
      </c>
      <c r="H262" s="83">
        <v>10254.18</v>
      </c>
      <c r="I262" s="83">
        <v>10477.68</v>
      </c>
      <c r="J262" s="83">
        <v>10611.78</v>
      </c>
      <c r="K262" s="83">
        <v>10531.32</v>
      </c>
      <c r="L262" s="83">
        <v>10750.35</v>
      </c>
      <c r="M262" s="83">
        <v>10811.720000000001</v>
      </c>
      <c r="N262" s="83">
        <v>11026.980000000001</v>
      </c>
      <c r="O262" s="83">
        <v>11252.46</v>
      </c>
      <c r="P262" s="83">
        <v>11457.28</v>
      </c>
      <c r="Q262" s="83">
        <v>11439.359999999999</v>
      </c>
      <c r="R262" s="116">
        <f t="shared" si="99"/>
        <v>128487.54</v>
      </c>
      <c r="S262" s="83">
        <f t="shared" si="100"/>
        <v>278.75063398140315</v>
      </c>
      <c r="T262" s="83">
        <f t="shared" si="100"/>
        <v>281.25021132713437</v>
      </c>
      <c r="U262" s="83">
        <f t="shared" si="101"/>
        <v>286.75</v>
      </c>
      <c r="V262" s="83">
        <f t="shared" si="101"/>
        <v>293</v>
      </c>
      <c r="W262" s="83">
        <f t="shared" si="101"/>
        <v>296.75000000000006</v>
      </c>
      <c r="X262" s="83">
        <f t="shared" si="101"/>
        <v>294.5</v>
      </c>
      <c r="Y262" s="83">
        <f t="shared" si="101"/>
        <v>300.625</v>
      </c>
      <c r="Z262" s="83">
        <f t="shared" si="101"/>
        <v>302.34116331096203</v>
      </c>
      <c r="AA262" s="83">
        <f t="shared" si="101"/>
        <v>308.3607382550336</v>
      </c>
      <c r="AB262" s="83">
        <f t="shared" si="101"/>
        <v>314.66610738255031</v>
      </c>
      <c r="AC262" s="83">
        <f t="shared" si="101"/>
        <v>320.39373601789714</v>
      </c>
      <c r="AD262" s="83">
        <f t="shared" si="101"/>
        <v>319.89261744966439</v>
      </c>
      <c r="AE262" s="83">
        <f t="shared" si="102"/>
        <v>299.77335064372045</v>
      </c>
      <c r="AF262" s="83"/>
      <c r="AH262" s="83"/>
      <c r="AI262" s="83"/>
      <c r="BB262" s="101">
        <f t="shared" si="94"/>
        <v>128638.74022823331</v>
      </c>
      <c r="BD262" s="112">
        <f t="shared" si="103"/>
        <v>35.93</v>
      </c>
      <c r="BE262" s="136">
        <f t="shared" si="104"/>
        <v>129250.27786354651</v>
      </c>
      <c r="BF262" s="137">
        <f t="shared" si="105"/>
        <v>611.53763531320146</v>
      </c>
      <c r="BG262" s="113">
        <f t="shared" si="106"/>
        <v>4.7539149888144094E-3</v>
      </c>
    </row>
    <row r="263" spans="1:59" s="62" customFormat="1" outlineLevel="1" x14ac:dyDescent="0.25">
      <c r="A263" s="62" t="str">
        <f t="shared" si="98"/>
        <v>MURREYSMULTI-FAMILY65MW1N</v>
      </c>
      <c r="B263" s="81" t="s">
        <v>1005</v>
      </c>
      <c r="C263" s="81" t="s">
        <v>1006</v>
      </c>
      <c r="D263" s="82">
        <v>36.24</v>
      </c>
      <c r="E263" s="82">
        <v>36.51</v>
      </c>
      <c r="F263" s="83">
        <v>0</v>
      </c>
      <c r="G263" s="83">
        <v>0</v>
      </c>
      <c r="H263" s="83">
        <v>0</v>
      </c>
      <c r="I263" s="83">
        <v>0</v>
      </c>
      <c r="J263" s="83">
        <v>0</v>
      </c>
      <c r="K263" s="83">
        <v>73.02</v>
      </c>
      <c r="L263" s="83">
        <v>36.51</v>
      </c>
      <c r="M263" s="83">
        <v>36.61</v>
      </c>
      <c r="N263" s="83">
        <v>36.61</v>
      </c>
      <c r="O263" s="83">
        <v>36.61</v>
      </c>
      <c r="P263" s="83">
        <v>36.61</v>
      </c>
      <c r="Q263" s="83">
        <v>36.61</v>
      </c>
      <c r="R263" s="116">
        <f t="shared" si="99"/>
        <v>292.58000000000004</v>
      </c>
      <c r="S263" s="83">
        <f t="shared" si="100"/>
        <v>0</v>
      </c>
      <c r="T263" s="83">
        <f t="shared" si="100"/>
        <v>0</v>
      </c>
      <c r="U263" s="83">
        <f t="shared" si="101"/>
        <v>0</v>
      </c>
      <c r="V263" s="83">
        <f t="shared" si="101"/>
        <v>0</v>
      </c>
      <c r="W263" s="83">
        <f t="shared" si="101"/>
        <v>0</v>
      </c>
      <c r="X263" s="83">
        <f t="shared" si="101"/>
        <v>2</v>
      </c>
      <c r="Y263" s="83">
        <f t="shared" si="101"/>
        <v>1</v>
      </c>
      <c r="Z263" s="83">
        <f t="shared" si="101"/>
        <v>1.0027389756231171</v>
      </c>
      <c r="AA263" s="83">
        <f t="shared" si="101"/>
        <v>1.0027389756231171</v>
      </c>
      <c r="AB263" s="83">
        <f t="shared" si="101"/>
        <v>1.0027389756231171</v>
      </c>
      <c r="AC263" s="83">
        <f t="shared" si="101"/>
        <v>1.0027389756231171</v>
      </c>
      <c r="AD263" s="83">
        <f t="shared" si="101"/>
        <v>1.0027389756231171</v>
      </c>
      <c r="AE263" s="83">
        <f t="shared" si="102"/>
        <v>0.66780790650963218</v>
      </c>
      <c r="AF263" s="83"/>
      <c r="AH263" s="83"/>
      <c r="AI263" s="83"/>
      <c r="BB263" s="101">
        <f t="shared" si="94"/>
        <v>292.58000000000004</v>
      </c>
      <c r="BD263" s="112">
        <f t="shared" si="103"/>
        <v>36.68</v>
      </c>
      <c r="BE263" s="136">
        <f t="shared" si="104"/>
        <v>293.9423281292797</v>
      </c>
      <c r="BF263" s="137">
        <f t="shared" si="105"/>
        <v>1.3623281292796605</v>
      </c>
      <c r="BG263" s="113">
        <f t="shared" si="106"/>
        <v>4.6562585592988598E-3</v>
      </c>
    </row>
    <row r="264" spans="1:59" s="62" customFormat="1" outlineLevel="1" x14ac:dyDescent="0.25">
      <c r="A264" s="62" t="str">
        <f t="shared" si="98"/>
        <v>MURREYSMULTI-FAMILY95MW1</v>
      </c>
      <c r="B264" s="81" t="s">
        <v>1007</v>
      </c>
      <c r="C264" s="81" t="s">
        <v>1008</v>
      </c>
      <c r="D264" s="82">
        <v>52.27</v>
      </c>
      <c r="E264" s="82">
        <v>52.65</v>
      </c>
      <c r="F264" s="83">
        <v>6599.09</v>
      </c>
      <c r="G264" s="83">
        <v>6899.6399999999994</v>
      </c>
      <c r="H264" s="83">
        <v>7160.24</v>
      </c>
      <c r="I264" s="83">
        <v>7357.8300000000008</v>
      </c>
      <c r="J264" s="83">
        <v>7765.9</v>
      </c>
      <c r="K264" s="83">
        <v>7759.3099999999995</v>
      </c>
      <c r="L264" s="83">
        <v>8805.73</v>
      </c>
      <c r="M264" s="83">
        <v>9781.1299999999992</v>
      </c>
      <c r="N264" s="83">
        <v>10177.199999999999</v>
      </c>
      <c r="O264" s="83">
        <v>10560</v>
      </c>
      <c r="P264" s="83">
        <v>11090.64</v>
      </c>
      <c r="Q264" s="83">
        <v>12025.2</v>
      </c>
      <c r="R264" s="116">
        <f t="shared" si="99"/>
        <v>105981.91</v>
      </c>
      <c r="S264" s="83">
        <f t="shared" ref="S264:T289" si="107">+IFERROR(F264/$D264,0)</f>
        <v>126.25004782858235</v>
      </c>
      <c r="T264" s="83">
        <f t="shared" si="107"/>
        <v>131.99999999999997</v>
      </c>
      <c r="U264" s="83">
        <f t="shared" ref="U264:AD289" si="108">+IFERROR(H264/$E264,0)</f>
        <v>135.99696106362774</v>
      </c>
      <c r="V264" s="83">
        <f t="shared" si="108"/>
        <v>139.74985754985758</v>
      </c>
      <c r="W264" s="83">
        <f t="shared" si="108"/>
        <v>147.50047483380817</v>
      </c>
      <c r="X264" s="83">
        <f t="shared" si="108"/>
        <v>147.37530864197529</v>
      </c>
      <c r="Y264" s="83">
        <f t="shared" si="108"/>
        <v>167.25033238366572</v>
      </c>
      <c r="Z264" s="83">
        <f t="shared" si="108"/>
        <v>185.77644824311491</v>
      </c>
      <c r="AA264" s="83">
        <f t="shared" si="108"/>
        <v>193.29914529914529</v>
      </c>
      <c r="AB264" s="83">
        <f t="shared" si="108"/>
        <v>200.56980056980058</v>
      </c>
      <c r="AC264" s="83">
        <f t="shared" si="108"/>
        <v>210.64843304843305</v>
      </c>
      <c r="AD264" s="83">
        <f t="shared" si="108"/>
        <v>228.39886039886042</v>
      </c>
      <c r="AE264" s="83">
        <f t="shared" si="102"/>
        <v>167.90130582173927</v>
      </c>
      <c r="AF264" s="83"/>
      <c r="AH264" s="83"/>
      <c r="AI264" s="83"/>
      <c r="BB264" s="101">
        <f t="shared" si="94"/>
        <v>106080.04501817486</v>
      </c>
      <c r="BD264" s="112">
        <f t="shared" si="103"/>
        <v>52.9</v>
      </c>
      <c r="BE264" s="136">
        <f t="shared" si="104"/>
        <v>106583.74893564009</v>
      </c>
      <c r="BF264" s="137">
        <f t="shared" si="105"/>
        <v>503.70391746523092</v>
      </c>
      <c r="BG264" s="113">
        <f t="shared" si="106"/>
        <v>4.7483380816715388E-3</v>
      </c>
    </row>
    <row r="265" spans="1:59" s="62" customFormat="1" outlineLevel="1" x14ac:dyDescent="0.25">
      <c r="A265" s="62" t="str">
        <f t="shared" si="98"/>
        <v>MURREYSMULTI-FAMILY95MW1N</v>
      </c>
      <c r="B265" s="81" t="s">
        <v>1009</v>
      </c>
      <c r="C265" s="81" t="s">
        <v>1010</v>
      </c>
      <c r="D265" s="82">
        <v>53.02</v>
      </c>
      <c r="E265" s="82">
        <v>53.4</v>
      </c>
      <c r="F265" s="83">
        <v>53.02</v>
      </c>
      <c r="G265" s="83">
        <v>53.02</v>
      </c>
      <c r="H265" s="83">
        <v>106.8</v>
      </c>
      <c r="I265" s="83">
        <v>146.85</v>
      </c>
      <c r="J265" s="83">
        <v>186.89999999999998</v>
      </c>
      <c r="K265" s="83">
        <v>186.89999999999998</v>
      </c>
      <c r="L265" s="83">
        <v>160.19999999999999</v>
      </c>
      <c r="M265" s="83">
        <v>160.65</v>
      </c>
      <c r="N265" s="83">
        <v>200.81</v>
      </c>
      <c r="O265" s="83">
        <v>160.65</v>
      </c>
      <c r="P265" s="83">
        <v>160.65</v>
      </c>
      <c r="Q265" s="83">
        <v>160.65</v>
      </c>
      <c r="R265" s="116">
        <f t="shared" si="99"/>
        <v>1737.1000000000001</v>
      </c>
      <c r="S265" s="83">
        <f t="shared" si="107"/>
        <v>1</v>
      </c>
      <c r="T265" s="83">
        <f t="shared" si="107"/>
        <v>1</v>
      </c>
      <c r="U265" s="83">
        <f t="shared" si="108"/>
        <v>2</v>
      </c>
      <c r="V265" s="83">
        <f t="shared" si="108"/>
        <v>2.75</v>
      </c>
      <c r="W265" s="83">
        <f t="shared" si="108"/>
        <v>3.4999999999999996</v>
      </c>
      <c r="X265" s="83">
        <f t="shared" si="108"/>
        <v>3.4999999999999996</v>
      </c>
      <c r="Y265" s="83">
        <f t="shared" si="108"/>
        <v>3</v>
      </c>
      <c r="Z265" s="83">
        <f t="shared" si="108"/>
        <v>3.0084269662921348</v>
      </c>
      <c r="AA265" s="83">
        <f t="shared" si="108"/>
        <v>3.7604868913857681</v>
      </c>
      <c r="AB265" s="83">
        <f t="shared" si="108"/>
        <v>3.0084269662921348</v>
      </c>
      <c r="AC265" s="83">
        <f t="shared" si="108"/>
        <v>3.0084269662921348</v>
      </c>
      <c r="AD265" s="83">
        <f t="shared" si="108"/>
        <v>3.0084269662921348</v>
      </c>
      <c r="AE265" s="83">
        <f t="shared" si="102"/>
        <v>2.7120162297128587</v>
      </c>
      <c r="AF265" s="83"/>
      <c r="AH265" s="83"/>
      <c r="AI265" s="83"/>
      <c r="BB265" s="101">
        <f t="shared" si="94"/>
        <v>1737.86</v>
      </c>
      <c r="BD265" s="112">
        <f t="shared" si="103"/>
        <v>53.65</v>
      </c>
      <c r="BE265" s="136">
        <f t="shared" si="104"/>
        <v>1745.9960486891384</v>
      </c>
      <c r="BF265" s="137">
        <f t="shared" si="105"/>
        <v>8.1360486891385335</v>
      </c>
      <c r="BG265" s="113">
        <f t="shared" si="106"/>
        <v>4.6816479400748814E-3</v>
      </c>
    </row>
    <row r="266" spans="1:59" s="62" customFormat="1" outlineLevel="1" x14ac:dyDescent="0.25">
      <c r="A266" s="62" t="str">
        <f t="shared" si="98"/>
        <v>MURREYSMULTI-FAMILYMCCWR35</v>
      </c>
      <c r="B266" s="81" t="s">
        <v>1011</v>
      </c>
      <c r="C266" s="81" t="s">
        <v>1012</v>
      </c>
      <c r="D266" s="82">
        <v>4.78</v>
      </c>
      <c r="E266" s="82">
        <v>4.83</v>
      </c>
      <c r="F266" s="83">
        <v>20185.939999999999</v>
      </c>
      <c r="G266" s="83">
        <v>18359.98</v>
      </c>
      <c r="H266" s="83">
        <v>21285.81</v>
      </c>
      <c r="I266" s="83">
        <v>19687.080000000002</v>
      </c>
      <c r="J266" s="83">
        <v>19107.48</v>
      </c>
      <c r="K266" s="83">
        <v>22633.38</v>
      </c>
      <c r="L266" s="83">
        <v>21067.98</v>
      </c>
      <c r="M266" s="83">
        <v>21524.79</v>
      </c>
      <c r="N266" s="83">
        <v>22748</v>
      </c>
      <c r="O266" s="83">
        <v>22017.16</v>
      </c>
      <c r="P266" s="83">
        <v>21591.24</v>
      </c>
      <c r="Q266" s="83">
        <v>20923.32</v>
      </c>
      <c r="R266" s="116">
        <f t="shared" si="99"/>
        <v>251132.16</v>
      </c>
      <c r="S266" s="83">
        <f t="shared" si="107"/>
        <v>4222.9999999999991</v>
      </c>
      <c r="T266" s="83">
        <f t="shared" si="107"/>
        <v>3840.9999999999995</v>
      </c>
      <c r="U266" s="83">
        <f t="shared" si="108"/>
        <v>4407</v>
      </c>
      <c r="V266" s="83">
        <f t="shared" si="108"/>
        <v>4076.0000000000005</v>
      </c>
      <c r="W266" s="83">
        <f t="shared" si="108"/>
        <v>3956</v>
      </c>
      <c r="X266" s="83">
        <f t="shared" si="108"/>
        <v>4686</v>
      </c>
      <c r="Y266" s="83">
        <f t="shared" si="108"/>
        <v>4361.9006211180122</v>
      </c>
      <c r="Z266" s="83">
        <f t="shared" si="108"/>
        <v>4456.478260869565</v>
      </c>
      <c r="AA266" s="83">
        <f t="shared" si="108"/>
        <v>4709.7308488612834</v>
      </c>
      <c r="AB266" s="83">
        <f t="shared" si="108"/>
        <v>4558.4182194616978</v>
      </c>
      <c r="AC266" s="83">
        <f t="shared" si="108"/>
        <v>4470.2360248447212</v>
      </c>
      <c r="AD266" s="83">
        <f t="shared" si="108"/>
        <v>4331.9503105590065</v>
      </c>
      <c r="AE266" s="83">
        <f t="shared" si="102"/>
        <v>4339.8095238095239</v>
      </c>
      <c r="AF266" s="83">
        <f>AE266/4.33</f>
        <v>1002.2654789398438</v>
      </c>
      <c r="AH266" s="83"/>
      <c r="AI266" s="83"/>
      <c r="BB266" s="101">
        <f t="shared" si="94"/>
        <v>251535.35999999999</v>
      </c>
      <c r="BD266" s="112">
        <f t="shared" si="103"/>
        <v>4.8499999999999996</v>
      </c>
      <c r="BE266" s="136">
        <f t="shared" si="104"/>
        <v>252576.91428571427</v>
      </c>
      <c r="BF266" s="137">
        <f t="shared" si="105"/>
        <v>1041.5542857142864</v>
      </c>
      <c r="BG266" s="113">
        <f t="shared" si="106"/>
        <v>4.1407867494824046E-3</v>
      </c>
    </row>
    <row r="267" spans="1:59" s="62" customFormat="1" outlineLevel="1" x14ac:dyDescent="0.25">
      <c r="A267" s="62" t="str">
        <f t="shared" si="98"/>
        <v>MURREYSMULTI-FAMILYMCCWR65</v>
      </c>
      <c r="B267" s="81" t="s">
        <v>1013</v>
      </c>
      <c r="C267" s="81" t="s">
        <v>1014</v>
      </c>
      <c r="D267" s="82">
        <v>7.1</v>
      </c>
      <c r="E267" s="82">
        <v>7.16</v>
      </c>
      <c r="F267" s="83">
        <v>431.62</v>
      </c>
      <c r="G267" s="83">
        <v>319.5</v>
      </c>
      <c r="H267" s="83">
        <v>300.72000000000003</v>
      </c>
      <c r="I267" s="83">
        <v>322.20000000000005</v>
      </c>
      <c r="J267" s="83">
        <v>277.42</v>
      </c>
      <c r="K267" s="83">
        <v>318.56</v>
      </c>
      <c r="L267" s="83">
        <v>365.16</v>
      </c>
      <c r="M267" s="83">
        <v>538.19999999999993</v>
      </c>
      <c r="N267" s="83">
        <v>430.8</v>
      </c>
      <c r="O267" s="83">
        <v>538.5</v>
      </c>
      <c r="P267" s="83">
        <v>430.8</v>
      </c>
      <c r="Q267" s="83">
        <v>495.42</v>
      </c>
      <c r="R267" s="116">
        <f t="shared" si="99"/>
        <v>4768.9000000000005</v>
      </c>
      <c r="S267" s="83">
        <f t="shared" si="107"/>
        <v>60.791549295774651</v>
      </c>
      <c r="T267" s="83">
        <f t="shared" si="107"/>
        <v>45</v>
      </c>
      <c r="U267" s="83">
        <f t="shared" si="108"/>
        <v>42</v>
      </c>
      <c r="V267" s="83">
        <f t="shared" si="108"/>
        <v>45.000000000000007</v>
      </c>
      <c r="W267" s="83">
        <f t="shared" si="108"/>
        <v>38.745810055865924</v>
      </c>
      <c r="X267" s="83">
        <f t="shared" si="108"/>
        <v>44.491620111731841</v>
      </c>
      <c r="Y267" s="83">
        <f t="shared" si="108"/>
        <v>51</v>
      </c>
      <c r="Z267" s="83">
        <f t="shared" si="108"/>
        <v>75.167597765363112</v>
      </c>
      <c r="AA267" s="83">
        <f t="shared" si="108"/>
        <v>60.167597765363126</v>
      </c>
      <c r="AB267" s="83">
        <f t="shared" si="108"/>
        <v>75.209497206703915</v>
      </c>
      <c r="AC267" s="83">
        <f t="shared" si="108"/>
        <v>60.167597765363126</v>
      </c>
      <c r="AD267" s="83">
        <f t="shared" si="108"/>
        <v>69.192737430167597</v>
      </c>
      <c r="AE267" s="83">
        <f t="shared" si="102"/>
        <v>55.577833949694444</v>
      </c>
      <c r="AF267" s="83">
        <f>AE267/4.33</f>
        <v>12.835527471061072</v>
      </c>
      <c r="AH267" s="83"/>
      <c r="AI267" s="83"/>
      <c r="BB267" s="101">
        <f t="shared" si="94"/>
        <v>4775.2474929577465</v>
      </c>
      <c r="BD267" s="112">
        <f t="shared" si="103"/>
        <v>7.19</v>
      </c>
      <c r="BE267" s="136">
        <f t="shared" si="104"/>
        <v>4795.2555131796371</v>
      </c>
      <c r="BF267" s="137">
        <f t="shared" si="105"/>
        <v>20.008020221890547</v>
      </c>
      <c r="BG267" s="113">
        <f t="shared" si="106"/>
        <v>4.1899441340783267E-3</v>
      </c>
    </row>
    <row r="268" spans="1:59" s="62" customFormat="1" outlineLevel="1" x14ac:dyDescent="0.25">
      <c r="A268" s="62" t="str">
        <f t="shared" si="98"/>
        <v>MURREYSMULTI-FAMILYMCCWR95</v>
      </c>
      <c r="B268" s="81" t="s">
        <v>1015</v>
      </c>
      <c r="C268" s="81" t="s">
        <v>1016</v>
      </c>
      <c r="D268" s="82">
        <v>9.91</v>
      </c>
      <c r="E268" s="82">
        <v>10</v>
      </c>
      <c r="F268" s="83">
        <v>0</v>
      </c>
      <c r="G268" s="83">
        <v>0</v>
      </c>
      <c r="H268" s="83">
        <v>0</v>
      </c>
      <c r="I268" s="83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  <c r="Q268" s="83">
        <v>0</v>
      </c>
      <c r="R268" s="116">
        <f t="shared" si="99"/>
        <v>0</v>
      </c>
      <c r="S268" s="83">
        <f t="shared" si="107"/>
        <v>0</v>
      </c>
      <c r="T268" s="83">
        <f t="shared" si="107"/>
        <v>0</v>
      </c>
      <c r="U268" s="83">
        <f t="shared" si="108"/>
        <v>0</v>
      </c>
      <c r="V268" s="83">
        <f t="shared" si="108"/>
        <v>0</v>
      </c>
      <c r="W268" s="83">
        <f t="shared" si="108"/>
        <v>0</v>
      </c>
      <c r="X268" s="83">
        <f t="shared" si="108"/>
        <v>0</v>
      </c>
      <c r="Y268" s="83">
        <f t="shared" si="108"/>
        <v>0</v>
      </c>
      <c r="Z268" s="83">
        <f t="shared" si="108"/>
        <v>0</v>
      </c>
      <c r="AA268" s="83">
        <f t="shared" si="108"/>
        <v>0</v>
      </c>
      <c r="AB268" s="83">
        <f t="shared" si="108"/>
        <v>0</v>
      </c>
      <c r="AC268" s="83">
        <f t="shared" si="108"/>
        <v>0</v>
      </c>
      <c r="AD268" s="83">
        <f t="shared" si="108"/>
        <v>0</v>
      </c>
      <c r="AE268" s="83">
        <f t="shared" si="102"/>
        <v>0</v>
      </c>
      <c r="AF268" s="83"/>
      <c r="AH268" s="83"/>
      <c r="AI268" s="83"/>
      <c r="BB268" s="101">
        <f t="shared" si="94"/>
        <v>0</v>
      </c>
      <c r="BD268" s="112">
        <f t="shared" si="103"/>
        <v>10.050000000000001</v>
      </c>
      <c r="BE268" s="136">
        <f t="shared" si="104"/>
        <v>0</v>
      </c>
      <c r="BF268" s="137">
        <f t="shared" si="105"/>
        <v>0</v>
      </c>
      <c r="BG268" s="113">
        <f t="shared" si="106"/>
        <v>0</v>
      </c>
    </row>
    <row r="269" spans="1:59" s="62" customFormat="1" outlineLevel="1" x14ac:dyDescent="0.25">
      <c r="A269" s="62" t="str">
        <f t="shared" si="98"/>
        <v>MURREYSMULTI-FAMILYMCCWR1</v>
      </c>
      <c r="B269" s="81" t="s">
        <v>1017</v>
      </c>
      <c r="C269" s="81" t="s">
        <v>1018</v>
      </c>
      <c r="D269" s="82">
        <v>0</v>
      </c>
      <c r="E269" s="82">
        <v>0</v>
      </c>
      <c r="F269" s="83">
        <v>0</v>
      </c>
      <c r="G269" s="83">
        <v>0</v>
      </c>
      <c r="H269" s="83">
        <v>0</v>
      </c>
      <c r="I269" s="83">
        <v>0</v>
      </c>
      <c r="J269" s="83">
        <v>0</v>
      </c>
      <c r="K269" s="83">
        <v>0</v>
      </c>
      <c r="L269" s="83">
        <v>0</v>
      </c>
      <c r="M269" s="83">
        <v>0</v>
      </c>
      <c r="N269" s="83">
        <v>0</v>
      </c>
      <c r="O269" s="83">
        <v>0</v>
      </c>
      <c r="P269" s="83">
        <v>0</v>
      </c>
      <c r="Q269" s="83">
        <v>0</v>
      </c>
      <c r="R269" s="116">
        <f t="shared" si="99"/>
        <v>0</v>
      </c>
      <c r="S269" s="83">
        <f t="shared" si="107"/>
        <v>0</v>
      </c>
      <c r="T269" s="83">
        <f t="shared" si="107"/>
        <v>0</v>
      </c>
      <c r="U269" s="83">
        <f t="shared" si="108"/>
        <v>0</v>
      </c>
      <c r="V269" s="83">
        <f t="shared" si="108"/>
        <v>0</v>
      </c>
      <c r="W269" s="83">
        <f t="shared" si="108"/>
        <v>0</v>
      </c>
      <c r="X269" s="83">
        <f t="shared" si="108"/>
        <v>0</v>
      </c>
      <c r="Y269" s="83">
        <f t="shared" si="108"/>
        <v>0</v>
      </c>
      <c r="Z269" s="83">
        <f t="shared" si="108"/>
        <v>0</v>
      </c>
      <c r="AA269" s="83">
        <f t="shared" si="108"/>
        <v>0</v>
      </c>
      <c r="AB269" s="83">
        <f t="shared" si="108"/>
        <v>0</v>
      </c>
      <c r="AC269" s="83">
        <f t="shared" si="108"/>
        <v>0</v>
      </c>
      <c r="AD269" s="83">
        <f t="shared" si="108"/>
        <v>0</v>
      </c>
      <c r="AE269" s="83">
        <f t="shared" si="102"/>
        <v>0</v>
      </c>
      <c r="AF269" s="83"/>
      <c r="AH269" s="121">
        <f>SUM(AH275:AH292)</f>
        <v>243802.81835805718</v>
      </c>
      <c r="AI269" s="121">
        <f>SUM(AI275:AI292)</f>
        <v>1071611.8816419428</v>
      </c>
      <c r="AN269" s="121">
        <f t="shared" ref="AN269:AZ269" si="109">SUM(AN272:AN292)</f>
        <v>5891.2507123742726</v>
      </c>
      <c r="AO269" s="121">
        <f t="shared" si="109"/>
        <v>5888.2834774975581</v>
      </c>
      <c r="AP269" s="121">
        <f t="shared" si="109"/>
        <v>5906.8263728022157</v>
      </c>
      <c r="AQ269" s="121">
        <f t="shared" si="109"/>
        <v>5896.5427665783018</v>
      </c>
      <c r="AR269" s="121">
        <f t="shared" si="109"/>
        <v>5876.0975199793183</v>
      </c>
      <c r="AS269" s="121">
        <f t="shared" si="109"/>
        <v>5824.7020790710676</v>
      </c>
      <c r="AT269" s="121">
        <f t="shared" si="109"/>
        <v>5885.7930040438478</v>
      </c>
      <c r="AU269" s="121">
        <f t="shared" si="109"/>
        <v>5950.3969447894624</v>
      </c>
      <c r="AV269" s="121">
        <f t="shared" si="109"/>
        <v>5997.2739293610612</v>
      </c>
      <c r="AW269" s="121">
        <f t="shared" si="109"/>
        <v>6060.5760327413254</v>
      </c>
      <c r="AX269" s="121">
        <f t="shared" si="109"/>
        <v>6045.8274067201091</v>
      </c>
      <c r="AY269" s="121">
        <f t="shared" si="109"/>
        <v>6120.2849343140733</v>
      </c>
      <c r="AZ269" s="121">
        <f t="shared" si="109"/>
        <v>5945.3212650227179</v>
      </c>
      <c r="BB269" s="101">
        <f t="shared" si="94"/>
        <v>0</v>
      </c>
      <c r="BC269" s="122"/>
      <c r="BD269" s="112">
        <f t="shared" si="103"/>
        <v>0</v>
      </c>
      <c r="BE269" s="136">
        <f t="shared" si="104"/>
        <v>0</v>
      </c>
      <c r="BF269" s="137">
        <f t="shared" si="105"/>
        <v>0</v>
      </c>
      <c r="BG269" s="113">
        <f t="shared" si="106"/>
        <v>0</v>
      </c>
    </row>
    <row r="270" spans="1:59" s="62" customFormat="1" outlineLevel="1" x14ac:dyDescent="0.25">
      <c r="A270" s="62" t="str">
        <f t="shared" si="98"/>
        <v>MURREYSMULTI-FAMILYMCCWRA</v>
      </c>
      <c r="B270" s="81" t="s">
        <v>1019</v>
      </c>
      <c r="C270" s="81" t="s">
        <v>1020</v>
      </c>
      <c r="D270" s="82">
        <v>0</v>
      </c>
      <c r="E270" s="82">
        <v>0</v>
      </c>
      <c r="F270" s="83">
        <v>0</v>
      </c>
      <c r="G270" s="83">
        <v>0</v>
      </c>
      <c r="H270" s="83">
        <v>0</v>
      </c>
      <c r="I270" s="83">
        <v>0</v>
      </c>
      <c r="J270" s="83">
        <v>0</v>
      </c>
      <c r="K270" s="83">
        <v>0</v>
      </c>
      <c r="L270" s="83">
        <v>0</v>
      </c>
      <c r="M270" s="83">
        <v>0</v>
      </c>
      <c r="N270" s="83">
        <v>0</v>
      </c>
      <c r="O270" s="83">
        <v>0</v>
      </c>
      <c r="P270" s="83">
        <v>0</v>
      </c>
      <c r="Q270" s="83">
        <v>0</v>
      </c>
      <c r="R270" s="116">
        <f t="shared" si="99"/>
        <v>0</v>
      </c>
      <c r="S270" s="83">
        <f t="shared" si="107"/>
        <v>0</v>
      </c>
      <c r="T270" s="83">
        <f t="shared" si="107"/>
        <v>0</v>
      </c>
      <c r="U270" s="83">
        <f t="shared" si="108"/>
        <v>0</v>
      </c>
      <c r="V270" s="83">
        <f t="shared" si="108"/>
        <v>0</v>
      </c>
      <c r="W270" s="83">
        <f t="shared" si="108"/>
        <v>0</v>
      </c>
      <c r="X270" s="83">
        <f t="shared" si="108"/>
        <v>0</v>
      </c>
      <c r="Y270" s="83">
        <f t="shared" si="108"/>
        <v>0</v>
      </c>
      <c r="Z270" s="83">
        <f t="shared" si="108"/>
        <v>0</v>
      </c>
      <c r="AA270" s="83">
        <f t="shared" si="108"/>
        <v>0</v>
      </c>
      <c r="AB270" s="83">
        <f t="shared" si="108"/>
        <v>0</v>
      </c>
      <c r="AC270" s="83">
        <f t="shared" si="108"/>
        <v>0</v>
      </c>
      <c r="AD270" s="83">
        <f t="shared" si="108"/>
        <v>0</v>
      </c>
      <c r="AE270" s="83">
        <f t="shared" si="102"/>
        <v>0</v>
      </c>
      <c r="AF270" s="83"/>
      <c r="AH270" s="83"/>
      <c r="AI270" s="83"/>
      <c r="BB270" s="101">
        <f t="shared" si="94"/>
        <v>0</v>
      </c>
      <c r="BD270" s="112">
        <f t="shared" si="103"/>
        <v>0</v>
      </c>
      <c r="BE270" s="136">
        <f t="shared" si="104"/>
        <v>0</v>
      </c>
      <c r="BF270" s="137">
        <f t="shared" si="105"/>
        <v>0</v>
      </c>
      <c r="BG270" s="113">
        <f t="shared" si="106"/>
        <v>0</v>
      </c>
    </row>
    <row r="271" spans="1:59" s="62" customFormat="1" outlineLevel="1" x14ac:dyDescent="0.25">
      <c r="A271" s="62" t="str">
        <f t="shared" si="98"/>
        <v>MURREYSMULTI-FAMILYMSRTOT</v>
      </c>
      <c r="B271" s="81" t="s">
        <v>1021</v>
      </c>
      <c r="C271" s="81" t="s">
        <v>1022</v>
      </c>
      <c r="D271" s="82">
        <v>7.45</v>
      </c>
      <c r="E271" s="82">
        <v>7.45</v>
      </c>
      <c r="F271" s="83">
        <v>1446.09</v>
      </c>
      <c r="G271" s="83">
        <v>1446.09</v>
      </c>
      <c r="H271" s="83">
        <v>1446.09</v>
      </c>
      <c r="I271" s="83">
        <v>1446.09</v>
      </c>
      <c r="J271" s="83">
        <v>1446.09</v>
      </c>
      <c r="K271" s="83">
        <v>1446.09</v>
      </c>
      <c r="L271" s="83">
        <v>1446.09</v>
      </c>
      <c r="M271" s="83">
        <v>1446.09</v>
      </c>
      <c r="N271" s="83">
        <v>1446.09</v>
      </c>
      <c r="O271" s="83">
        <v>1451.22</v>
      </c>
      <c r="P271" s="83">
        <v>1451.22</v>
      </c>
      <c r="Q271" s="83">
        <v>816.07</v>
      </c>
      <c r="R271" s="116">
        <f t="shared" si="99"/>
        <v>16733.32</v>
      </c>
      <c r="S271" s="83">
        <f t="shared" si="107"/>
        <v>194.10604026845635</v>
      </c>
      <c r="T271" s="83">
        <f t="shared" si="107"/>
        <v>194.10604026845635</v>
      </c>
      <c r="U271" s="83">
        <f t="shared" si="108"/>
        <v>194.10604026845635</v>
      </c>
      <c r="V271" s="83">
        <f t="shared" si="108"/>
        <v>194.10604026845635</v>
      </c>
      <c r="W271" s="83">
        <f t="shared" si="108"/>
        <v>194.10604026845635</v>
      </c>
      <c r="X271" s="83">
        <f t="shared" si="108"/>
        <v>194.10604026845635</v>
      </c>
      <c r="Y271" s="83">
        <f t="shared" si="108"/>
        <v>194.10604026845635</v>
      </c>
      <c r="Z271" s="83">
        <f t="shared" si="108"/>
        <v>194.10604026845635</v>
      </c>
      <c r="AA271" s="83">
        <f t="shared" si="108"/>
        <v>194.10604026845635</v>
      </c>
      <c r="AB271" s="83">
        <f t="shared" si="108"/>
        <v>194.79463087248322</v>
      </c>
      <c r="AC271" s="83">
        <f t="shared" si="108"/>
        <v>194.79463087248322</v>
      </c>
      <c r="AD271" s="83">
        <f t="shared" si="108"/>
        <v>109.53959731543624</v>
      </c>
      <c r="AE271" s="83">
        <f t="shared" si="102"/>
        <v>187.17360178970918</v>
      </c>
      <c r="AF271" s="83"/>
      <c r="AH271" s="83"/>
      <c r="AI271" s="83"/>
      <c r="BB271" s="101">
        <f t="shared" si="94"/>
        <v>16733.32</v>
      </c>
      <c r="BD271" s="112">
        <f t="shared" si="103"/>
        <v>7.48</v>
      </c>
      <c r="BE271" s="136">
        <f t="shared" si="104"/>
        <v>16800.702496644295</v>
      </c>
      <c r="BF271" s="137">
        <f t="shared" si="105"/>
        <v>67.382496644295315</v>
      </c>
      <c r="BG271" s="113">
        <f t="shared" si="106"/>
        <v>4.0268456375838939E-3</v>
      </c>
    </row>
    <row r="272" spans="1:59" s="62" customFormat="1" outlineLevel="1" x14ac:dyDescent="0.25">
      <c r="A272" s="62" t="str">
        <f t="shared" si="98"/>
        <v>MURREYSMULTI-FAMILYM1YD1W</v>
      </c>
      <c r="B272" s="81" t="s">
        <v>1023</v>
      </c>
      <c r="C272" s="81" t="s">
        <v>1024</v>
      </c>
      <c r="D272" s="82">
        <v>121.54</v>
      </c>
      <c r="E272" s="82">
        <v>122.54</v>
      </c>
      <c r="F272" s="83">
        <v>37345.51</v>
      </c>
      <c r="G272" s="83">
        <v>37616.660000000003</v>
      </c>
      <c r="H272" s="83">
        <v>38114.6</v>
      </c>
      <c r="I272" s="83">
        <v>38538.83</v>
      </c>
      <c r="J272" s="83">
        <v>39212.81</v>
      </c>
      <c r="K272" s="83">
        <v>37803.61</v>
      </c>
      <c r="L272" s="83">
        <v>37987.43</v>
      </c>
      <c r="M272" s="83">
        <v>37250.69</v>
      </c>
      <c r="N272" s="83">
        <v>36621.25</v>
      </c>
      <c r="O272" s="83">
        <v>37020.620000000003</v>
      </c>
      <c r="P272" s="83">
        <v>37573.629999999997</v>
      </c>
      <c r="Q272" s="83">
        <v>37363.259999999995</v>
      </c>
      <c r="R272" s="116">
        <f t="shared" si="99"/>
        <v>452448.9</v>
      </c>
      <c r="S272" s="83">
        <f t="shared" si="107"/>
        <v>307.26929405956889</v>
      </c>
      <c r="T272" s="83">
        <f t="shared" si="107"/>
        <v>309.50024683231857</v>
      </c>
      <c r="U272" s="83">
        <f t="shared" si="108"/>
        <v>311.03802839889011</v>
      </c>
      <c r="V272" s="83">
        <f t="shared" si="108"/>
        <v>314.5</v>
      </c>
      <c r="W272" s="83">
        <f t="shared" si="108"/>
        <v>320.00008160600618</v>
      </c>
      <c r="X272" s="83">
        <f t="shared" si="108"/>
        <v>308.50016321201241</v>
      </c>
      <c r="Y272" s="83">
        <f t="shared" si="108"/>
        <v>310.00024481801859</v>
      </c>
      <c r="Z272" s="83">
        <f t="shared" si="108"/>
        <v>303.98800391708829</v>
      </c>
      <c r="AA272" s="83">
        <f t="shared" si="108"/>
        <v>298.85139546270602</v>
      </c>
      <c r="AB272" s="83">
        <f t="shared" si="108"/>
        <v>302.11049453239758</v>
      </c>
      <c r="AC272" s="83">
        <f t="shared" si="108"/>
        <v>306.62338828137746</v>
      </c>
      <c r="AD272" s="83">
        <f t="shared" si="108"/>
        <v>304.90664272890479</v>
      </c>
      <c r="AE272" s="83">
        <f t="shared" si="102"/>
        <v>308.10733198744077</v>
      </c>
      <c r="AF272" s="83"/>
      <c r="AH272" s="83">
        <f>+SUM(S272:AD272)*$AL$275*$AL$273*$AL$282</f>
        <v>70655.173371359924</v>
      </c>
      <c r="AI272" s="83">
        <f>+SUM(F272:Q272)-AH272</f>
        <v>381793.72662864008</v>
      </c>
      <c r="AK272" s="123" t="s">
        <v>1025</v>
      </c>
      <c r="AL272" s="124">
        <f>+(26/12)</f>
        <v>2.1666666666666665</v>
      </c>
      <c r="AN272" s="83">
        <f t="shared" ref="AN272:AY272" si="110">+S272*$AL$273*$AL$282</f>
        <v>1331.5002742581319</v>
      </c>
      <c r="AO272" s="83">
        <f t="shared" si="110"/>
        <v>1341.1677362733803</v>
      </c>
      <c r="AP272" s="83">
        <f t="shared" si="110"/>
        <v>1347.8314563951903</v>
      </c>
      <c r="AQ272" s="83">
        <f t="shared" si="110"/>
        <v>1362.8333333333333</v>
      </c>
      <c r="AR272" s="83">
        <f t="shared" si="110"/>
        <v>1386.6670202926935</v>
      </c>
      <c r="AS272" s="83">
        <f t="shared" si="110"/>
        <v>1336.8340405853871</v>
      </c>
      <c r="AT272" s="83">
        <f t="shared" si="110"/>
        <v>1343.3343942114138</v>
      </c>
      <c r="AU272" s="83">
        <f t="shared" si="110"/>
        <v>1317.2813503073826</v>
      </c>
      <c r="AV272" s="83">
        <f t="shared" si="110"/>
        <v>1295.022713671726</v>
      </c>
      <c r="AW272" s="83">
        <f t="shared" si="110"/>
        <v>1309.145476307056</v>
      </c>
      <c r="AX272" s="83">
        <f t="shared" si="110"/>
        <v>1328.7013492193023</v>
      </c>
      <c r="AY272" s="83">
        <f t="shared" si="110"/>
        <v>1321.2621184919205</v>
      </c>
      <c r="AZ272" s="83">
        <f>+SUM(AN272:AY272)/$AB$2</f>
        <v>1335.1317719455765</v>
      </c>
      <c r="BB272" s="101">
        <f t="shared" si="94"/>
        <v>453065.66954089195</v>
      </c>
      <c r="BC272" s="83"/>
      <c r="BD272" s="112">
        <f t="shared" si="103"/>
        <v>123.11</v>
      </c>
      <c r="BE272" s="136">
        <f t="shared" si="104"/>
        <v>455173.12369168602</v>
      </c>
      <c r="BF272" s="137">
        <f t="shared" si="105"/>
        <v>2107.4541507940739</v>
      </c>
      <c r="BG272" s="113">
        <f t="shared" si="106"/>
        <v>4.651542353517172E-3</v>
      </c>
    </row>
    <row r="273" spans="1:59" s="62" customFormat="1" outlineLevel="1" x14ac:dyDescent="0.25">
      <c r="A273" s="62" t="str">
        <f t="shared" si="98"/>
        <v>MURREYSMULTI-FAMILYM1YD2W</v>
      </c>
      <c r="B273" s="81" t="s">
        <v>1026</v>
      </c>
      <c r="C273" s="81" t="s">
        <v>1027</v>
      </c>
      <c r="D273" s="82">
        <v>243.09</v>
      </c>
      <c r="E273" s="82">
        <v>245.08</v>
      </c>
      <c r="F273" s="83">
        <v>0</v>
      </c>
      <c r="G273" s="83">
        <v>0</v>
      </c>
      <c r="H273" s="83">
        <v>0</v>
      </c>
      <c r="I273" s="83">
        <v>0</v>
      </c>
      <c r="J273" s="83">
        <v>0</v>
      </c>
      <c r="K273" s="83">
        <v>0</v>
      </c>
      <c r="L273" s="83">
        <v>0</v>
      </c>
      <c r="M273" s="83">
        <v>0</v>
      </c>
      <c r="N273" s="83">
        <v>61.44</v>
      </c>
      <c r="O273" s="83">
        <v>0</v>
      </c>
      <c r="P273" s="83">
        <v>0</v>
      </c>
      <c r="Q273" s="83">
        <v>0</v>
      </c>
      <c r="R273" s="116">
        <f t="shared" si="99"/>
        <v>61.44</v>
      </c>
      <c r="S273" s="83">
        <f t="shared" si="107"/>
        <v>0</v>
      </c>
      <c r="T273" s="83">
        <f t="shared" si="107"/>
        <v>0</v>
      </c>
      <c r="U273" s="83">
        <f t="shared" si="108"/>
        <v>0</v>
      </c>
      <c r="V273" s="83">
        <f t="shared" si="108"/>
        <v>0</v>
      </c>
      <c r="W273" s="83">
        <f t="shared" si="108"/>
        <v>0</v>
      </c>
      <c r="X273" s="83">
        <f t="shared" si="108"/>
        <v>0</v>
      </c>
      <c r="Y273" s="83">
        <f t="shared" si="108"/>
        <v>0</v>
      </c>
      <c r="Z273" s="83">
        <f t="shared" si="108"/>
        <v>0</v>
      </c>
      <c r="AA273" s="83">
        <f t="shared" si="108"/>
        <v>0.25069365105271746</v>
      </c>
      <c r="AB273" s="83">
        <f t="shared" si="108"/>
        <v>0</v>
      </c>
      <c r="AC273" s="83">
        <f t="shared" si="108"/>
        <v>0</v>
      </c>
      <c r="AD273" s="83">
        <f t="shared" si="108"/>
        <v>0</v>
      </c>
      <c r="AE273" s="83">
        <f t="shared" si="102"/>
        <v>2.0891137587726455E-2</v>
      </c>
      <c r="AF273" s="83"/>
      <c r="AH273" s="83">
        <f>+SUM(S273:AD273)*$AL$275*$AL$288*$AL$282</f>
        <v>9.5815113432348618</v>
      </c>
      <c r="AI273" s="83">
        <f>+SUM(F273:Q273)-AH273</f>
        <v>51.858488656765132</v>
      </c>
      <c r="AK273" s="123" t="s">
        <v>1028</v>
      </c>
      <c r="AL273" s="124">
        <f>+(52/12)</f>
        <v>4.333333333333333</v>
      </c>
      <c r="AN273" s="83">
        <f t="shared" ref="AN273:AY273" si="111">+S273*$AL$288*$AL$282</f>
        <v>0</v>
      </c>
      <c r="AO273" s="83">
        <f t="shared" si="111"/>
        <v>0</v>
      </c>
      <c r="AP273" s="83">
        <f t="shared" si="111"/>
        <v>0</v>
      </c>
      <c r="AQ273" s="83">
        <f t="shared" si="111"/>
        <v>0</v>
      </c>
      <c r="AR273" s="83">
        <f t="shared" si="111"/>
        <v>0</v>
      </c>
      <c r="AS273" s="83">
        <f t="shared" si="111"/>
        <v>0</v>
      </c>
      <c r="AT273" s="83">
        <f t="shared" si="111"/>
        <v>0</v>
      </c>
      <c r="AU273" s="83">
        <f t="shared" si="111"/>
        <v>0</v>
      </c>
      <c r="AV273" s="83">
        <f t="shared" si="111"/>
        <v>2.1726783091235511</v>
      </c>
      <c r="AW273" s="83">
        <f t="shared" si="111"/>
        <v>0</v>
      </c>
      <c r="AX273" s="83">
        <f t="shared" si="111"/>
        <v>0</v>
      </c>
      <c r="AY273" s="83">
        <f t="shared" si="111"/>
        <v>0</v>
      </c>
      <c r="AZ273" s="83">
        <f>+SUM(AN273:AY273)/$AB$2</f>
        <v>0.18105652576029593</v>
      </c>
      <c r="BB273" s="101">
        <f t="shared" si="94"/>
        <v>61.44</v>
      </c>
      <c r="BC273" s="83"/>
      <c r="BD273" s="112">
        <f t="shared" si="103"/>
        <v>246.23</v>
      </c>
      <c r="BE273" s="136">
        <f t="shared" si="104"/>
        <v>61.728297698710612</v>
      </c>
      <c r="BF273" s="137">
        <f t="shared" si="105"/>
        <v>0.28829769871061472</v>
      </c>
      <c r="BG273" s="113">
        <f t="shared" si="106"/>
        <v>4.6923453566180785E-3</v>
      </c>
    </row>
    <row r="274" spans="1:59" s="62" customFormat="1" ht="15.75" outlineLevel="1" thickBot="1" x14ac:dyDescent="0.3">
      <c r="A274" s="62" t="str">
        <f t="shared" si="98"/>
        <v>MURREYSMULTI-FAMILYM1YDTPU</v>
      </c>
      <c r="B274" s="81" t="s">
        <v>1029</v>
      </c>
      <c r="C274" s="81" t="s">
        <v>1030</v>
      </c>
      <c r="D274" s="82">
        <v>120.96</v>
      </c>
      <c r="E274" s="82">
        <v>121.88</v>
      </c>
      <c r="F274" s="83">
        <v>0</v>
      </c>
      <c r="G274" s="83">
        <v>30.24</v>
      </c>
      <c r="H274" s="83">
        <v>90.72</v>
      </c>
      <c r="I274" s="83">
        <v>0</v>
      </c>
      <c r="J274" s="83">
        <v>60.94</v>
      </c>
      <c r="K274" s="83">
        <v>182.82</v>
      </c>
      <c r="L274" s="83">
        <v>0</v>
      </c>
      <c r="M274" s="83">
        <v>61.1</v>
      </c>
      <c r="N274" s="83">
        <v>-61.1</v>
      </c>
      <c r="O274" s="83">
        <v>0</v>
      </c>
      <c r="P274" s="83">
        <v>0</v>
      </c>
      <c r="Q274" s="83">
        <v>0</v>
      </c>
      <c r="R274" s="116">
        <f t="shared" si="99"/>
        <v>364.71999999999997</v>
      </c>
      <c r="S274" s="83">
        <f t="shared" si="107"/>
        <v>0</v>
      </c>
      <c r="T274" s="83">
        <f t="shared" si="107"/>
        <v>0.25</v>
      </c>
      <c r="U274" s="83">
        <f t="shared" si="108"/>
        <v>0.74433869379717754</v>
      </c>
      <c r="V274" s="83">
        <f t="shared" si="108"/>
        <v>0</v>
      </c>
      <c r="W274" s="83">
        <f t="shared" si="108"/>
        <v>0.5</v>
      </c>
      <c r="X274" s="83">
        <f t="shared" si="108"/>
        <v>1.5</v>
      </c>
      <c r="Y274" s="83">
        <f t="shared" si="108"/>
        <v>0</v>
      </c>
      <c r="Z274" s="83">
        <f t="shared" si="108"/>
        <v>0.50131276665572699</v>
      </c>
      <c r="AA274" s="83">
        <f t="shared" si="108"/>
        <v>-0.50131276665572699</v>
      </c>
      <c r="AB274" s="83">
        <f t="shared" si="108"/>
        <v>0</v>
      </c>
      <c r="AC274" s="83">
        <f t="shared" si="108"/>
        <v>0</v>
      </c>
      <c r="AD274" s="83">
        <f t="shared" si="108"/>
        <v>0</v>
      </c>
      <c r="AE274" s="83">
        <f t="shared" si="102"/>
        <v>0.24952822448309811</v>
      </c>
      <c r="AF274" s="83"/>
      <c r="AH274" s="83">
        <f>+SUM(S274:AD274)*$AL$275*$AL$282</f>
        <v>13.205033639645553</v>
      </c>
      <c r="AI274" s="83">
        <f>+SUM(F274:Q274)-AH274</f>
        <v>351.51496636035444</v>
      </c>
      <c r="AK274" s="123" t="s">
        <v>1031</v>
      </c>
      <c r="AL274" s="124">
        <f>+(52/12)*3</f>
        <v>13</v>
      </c>
      <c r="AN274" s="83">
        <f t="shared" ref="AN274:AY274" si="112">+S274*$AL$282</f>
        <v>0</v>
      </c>
      <c r="AO274" s="83">
        <f t="shared" si="112"/>
        <v>0.25</v>
      </c>
      <c r="AP274" s="83">
        <f t="shared" si="112"/>
        <v>0.74433869379717754</v>
      </c>
      <c r="AQ274" s="83">
        <f t="shared" si="112"/>
        <v>0</v>
      </c>
      <c r="AR274" s="83">
        <f t="shared" si="112"/>
        <v>0.5</v>
      </c>
      <c r="AS274" s="83">
        <f t="shared" si="112"/>
        <v>1.5</v>
      </c>
      <c r="AT274" s="83">
        <f t="shared" si="112"/>
        <v>0</v>
      </c>
      <c r="AU274" s="83">
        <f t="shared" si="112"/>
        <v>0.50131276665572699</v>
      </c>
      <c r="AV274" s="83">
        <f t="shared" si="112"/>
        <v>-0.50131276665572699</v>
      </c>
      <c r="AW274" s="83">
        <f t="shared" si="112"/>
        <v>0</v>
      </c>
      <c r="AX274" s="83">
        <f t="shared" si="112"/>
        <v>0</v>
      </c>
      <c r="AY274" s="83">
        <f t="shared" si="112"/>
        <v>0</v>
      </c>
      <c r="AZ274" s="83">
        <f>+SUM(AN274:AY274)/$AB$2</f>
        <v>0.24952822448309811</v>
      </c>
      <c r="BB274" s="101">
        <f t="shared" si="94"/>
        <v>364.95</v>
      </c>
      <c r="BC274" s="83"/>
      <c r="BD274" s="112">
        <f t="shared" si="103"/>
        <v>122.45</v>
      </c>
      <c r="BE274" s="136">
        <f t="shared" si="104"/>
        <v>366.65677305546438</v>
      </c>
      <c r="BF274" s="137">
        <f t="shared" si="105"/>
        <v>1.7067730554643958</v>
      </c>
      <c r="BG274" s="113">
        <f t="shared" si="106"/>
        <v>4.6767312110272529E-3</v>
      </c>
    </row>
    <row r="275" spans="1:59" s="62" customFormat="1" outlineLevel="1" x14ac:dyDescent="0.25">
      <c r="A275" s="62" t="str">
        <f t="shared" si="98"/>
        <v>MURREYSMULTI-FAMILYM1.5YD1W</v>
      </c>
      <c r="B275" s="81" t="s">
        <v>1032</v>
      </c>
      <c r="C275" s="81" t="s">
        <v>1033</v>
      </c>
      <c r="D275" s="82">
        <v>170.52</v>
      </c>
      <c r="E275" s="82">
        <v>171.94</v>
      </c>
      <c r="F275" s="83">
        <v>11169.06</v>
      </c>
      <c r="G275" s="83">
        <v>11382.21</v>
      </c>
      <c r="H275" s="83">
        <v>11262.08</v>
      </c>
      <c r="I275" s="83">
        <v>11133.119999999999</v>
      </c>
      <c r="J275" s="83">
        <v>11090.14</v>
      </c>
      <c r="K275" s="83">
        <v>11190.23</v>
      </c>
      <c r="L275" s="83">
        <v>11562.97</v>
      </c>
      <c r="M275" s="83">
        <v>11983.2</v>
      </c>
      <c r="N275" s="83">
        <v>12241.82</v>
      </c>
      <c r="O275" s="83">
        <v>11509.04</v>
      </c>
      <c r="P275" s="83">
        <v>10822.64</v>
      </c>
      <c r="Q275" s="83">
        <v>11724.56</v>
      </c>
      <c r="R275" s="116">
        <f t="shared" si="99"/>
        <v>137071.07</v>
      </c>
      <c r="S275" s="83">
        <f t="shared" si="107"/>
        <v>65.5</v>
      </c>
      <c r="T275" s="83">
        <f t="shared" si="107"/>
        <v>66.749999999999986</v>
      </c>
      <c r="U275" s="83">
        <f t="shared" si="108"/>
        <v>65.500058159823197</v>
      </c>
      <c r="V275" s="83">
        <f t="shared" si="108"/>
        <v>64.750029079911599</v>
      </c>
      <c r="W275" s="83">
        <f t="shared" si="108"/>
        <v>64.500058159823197</v>
      </c>
      <c r="X275" s="83">
        <f t="shared" si="108"/>
        <v>65.082179830173317</v>
      </c>
      <c r="Y275" s="83">
        <f t="shared" si="108"/>
        <v>67.250029079911599</v>
      </c>
      <c r="Z275" s="83">
        <f t="shared" si="108"/>
        <v>69.694079329998843</v>
      </c>
      <c r="AA275" s="83">
        <f t="shared" si="108"/>
        <v>71.198208677445621</v>
      </c>
      <c r="AB275" s="83">
        <f t="shared" si="108"/>
        <v>66.93637315342562</v>
      </c>
      <c r="AC275" s="83">
        <f t="shared" si="108"/>
        <v>62.944282889380013</v>
      </c>
      <c r="AD275" s="83">
        <f t="shared" si="108"/>
        <v>68.189833662905656</v>
      </c>
      <c r="AE275" s="83">
        <f t="shared" si="102"/>
        <v>66.524594335233218</v>
      </c>
      <c r="AF275" s="83"/>
      <c r="AH275" s="83">
        <f>+SUM(S275:AD275)*$AL$275*$AL$273*$AL$283</f>
        <v>22883.129959433521</v>
      </c>
      <c r="AI275" s="83">
        <f>+SUM(F275:Q275)-AH275</f>
        <v>114187.94004056649</v>
      </c>
      <c r="AK275" s="125" t="s">
        <v>1034</v>
      </c>
      <c r="AL275" s="126">
        <v>4.41</v>
      </c>
      <c r="AN275" s="83">
        <f t="shared" ref="AN275:AY275" si="113">+S275*$AL$273*$AL$283</f>
        <v>425.75</v>
      </c>
      <c r="AO275" s="83">
        <f t="shared" si="113"/>
        <v>433.87499999999989</v>
      </c>
      <c r="AP275" s="83">
        <f t="shared" si="113"/>
        <v>425.75037803885073</v>
      </c>
      <c r="AQ275" s="83">
        <f t="shared" si="113"/>
        <v>420.87518901942536</v>
      </c>
      <c r="AR275" s="83">
        <f t="shared" si="113"/>
        <v>419.25037803885078</v>
      </c>
      <c r="AS275" s="83">
        <f t="shared" si="113"/>
        <v>423.03416889612652</v>
      </c>
      <c r="AT275" s="83">
        <f t="shared" si="113"/>
        <v>437.12518901942531</v>
      </c>
      <c r="AU275" s="83">
        <f t="shared" si="113"/>
        <v>453.01151564499241</v>
      </c>
      <c r="AV275" s="83">
        <f t="shared" si="113"/>
        <v>462.78835640339651</v>
      </c>
      <c r="AW275" s="83">
        <f t="shared" si="113"/>
        <v>435.08642549726648</v>
      </c>
      <c r="AX275" s="83">
        <f t="shared" si="113"/>
        <v>409.13783878097007</v>
      </c>
      <c r="AY275" s="83">
        <f t="shared" si="113"/>
        <v>443.23391880888676</v>
      </c>
      <c r="AZ275" s="83">
        <f>+SUM(AN275:AY275)/$AB$2</f>
        <v>432.40986317901587</v>
      </c>
      <c r="BB275" s="101">
        <f t="shared" si="94"/>
        <v>137258.86499999999</v>
      </c>
      <c r="BC275" s="83"/>
      <c r="BD275" s="112">
        <f t="shared" si="103"/>
        <v>172.74</v>
      </c>
      <c r="BE275" s="136">
        <f t="shared" si="104"/>
        <v>137897.50110561826</v>
      </c>
      <c r="BF275" s="137">
        <f t="shared" si="105"/>
        <v>638.63610561826499</v>
      </c>
      <c r="BG275" s="113">
        <f t="shared" si="106"/>
        <v>4.6527858555311897E-3</v>
      </c>
    </row>
    <row r="276" spans="1:59" s="62" customFormat="1" outlineLevel="1" x14ac:dyDescent="0.25">
      <c r="A276" s="62" t="str">
        <f t="shared" si="98"/>
        <v>MURREYSMULTI-FAMILYM1.5YD2W</v>
      </c>
      <c r="B276" s="81" t="s">
        <v>1035</v>
      </c>
      <c r="C276" s="81" t="s">
        <v>1036</v>
      </c>
      <c r="D276" s="82">
        <v>341.03</v>
      </c>
      <c r="E276" s="82">
        <v>343.89</v>
      </c>
      <c r="F276" s="83">
        <v>1023.09</v>
      </c>
      <c r="G276" s="83">
        <v>1023.09</v>
      </c>
      <c r="H276" s="83">
        <v>1031.67</v>
      </c>
      <c r="I276" s="83">
        <v>1031.67</v>
      </c>
      <c r="J276" s="83">
        <v>1031.67</v>
      </c>
      <c r="K276" s="83">
        <v>1031.67</v>
      </c>
      <c r="L276" s="83">
        <v>1031.67</v>
      </c>
      <c r="M276" s="83">
        <v>1034.52</v>
      </c>
      <c r="N276" s="83">
        <v>1034.52</v>
      </c>
      <c r="O276" s="83">
        <v>1034.52</v>
      </c>
      <c r="P276" s="83">
        <v>1034.52</v>
      </c>
      <c r="Q276" s="83">
        <v>1034.52</v>
      </c>
      <c r="R276" s="116">
        <f t="shared" si="99"/>
        <v>12377.130000000003</v>
      </c>
      <c r="S276" s="83">
        <f t="shared" si="107"/>
        <v>3.0000000000000004</v>
      </c>
      <c r="T276" s="83">
        <f t="shared" si="107"/>
        <v>3.0000000000000004</v>
      </c>
      <c r="U276" s="83">
        <f t="shared" si="108"/>
        <v>3.0000000000000004</v>
      </c>
      <c r="V276" s="83">
        <f t="shared" si="108"/>
        <v>3.0000000000000004</v>
      </c>
      <c r="W276" s="83">
        <f t="shared" si="108"/>
        <v>3.0000000000000004</v>
      </c>
      <c r="X276" s="83">
        <f t="shared" si="108"/>
        <v>3.0000000000000004</v>
      </c>
      <c r="Y276" s="83">
        <f t="shared" si="108"/>
        <v>3.0000000000000004</v>
      </c>
      <c r="Z276" s="83">
        <f t="shared" si="108"/>
        <v>3.0082875338044142</v>
      </c>
      <c r="AA276" s="83">
        <f t="shared" si="108"/>
        <v>3.0082875338044142</v>
      </c>
      <c r="AB276" s="83">
        <f t="shared" si="108"/>
        <v>3.0082875338044142</v>
      </c>
      <c r="AC276" s="83">
        <f t="shared" si="108"/>
        <v>3.0082875338044142</v>
      </c>
      <c r="AD276" s="83">
        <f t="shared" si="108"/>
        <v>3.0082875338044142</v>
      </c>
      <c r="AE276" s="83">
        <f t="shared" si="102"/>
        <v>3.0034531390851726</v>
      </c>
      <c r="AF276" s="83"/>
      <c r="AH276" s="83">
        <f>+SUM(S276:AD276)*$AL$275*$AL$288*$AL$283</f>
        <v>2066.2556215650357</v>
      </c>
      <c r="AI276" s="83">
        <f t="shared" ref="AI276:AI287" si="114">+SUM(F276:Q276)-AH276</f>
        <v>10310.874378434968</v>
      </c>
      <c r="AK276" s="127"/>
      <c r="AL276" s="128"/>
      <c r="AN276" s="83">
        <f t="shared" ref="AN276:AY276" si="115">S276*$AL$288*$AL$283</f>
        <v>39.000000000000007</v>
      </c>
      <c r="AO276" s="83">
        <f t="shared" si="115"/>
        <v>39.000000000000007</v>
      </c>
      <c r="AP276" s="83">
        <f t="shared" si="115"/>
        <v>39.000000000000007</v>
      </c>
      <c r="AQ276" s="83">
        <f t="shared" si="115"/>
        <v>39.000000000000007</v>
      </c>
      <c r="AR276" s="83">
        <f t="shared" si="115"/>
        <v>39.000000000000007</v>
      </c>
      <c r="AS276" s="83">
        <f t="shared" si="115"/>
        <v>39.000000000000007</v>
      </c>
      <c r="AT276" s="83">
        <f t="shared" si="115"/>
        <v>39.000000000000007</v>
      </c>
      <c r="AU276" s="83">
        <f t="shared" si="115"/>
        <v>39.10773793945738</v>
      </c>
      <c r="AV276" s="83">
        <f t="shared" si="115"/>
        <v>39.10773793945738</v>
      </c>
      <c r="AW276" s="83">
        <f t="shared" si="115"/>
        <v>39.10773793945738</v>
      </c>
      <c r="AX276" s="83">
        <f t="shared" si="115"/>
        <v>39.10773793945738</v>
      </c>
      <c r="AY276" s="83">
        <f t="shared" si="115"/>
        <v>39.10773793945738</v>
      </c>
      <c r="AZ276" s="83">
        <f t="shared" ref="AZ276:AZ287" si="116">+SUM(AN276:AY276)/$AB$2</f>
        <v>39.04489080810724</v>
      </c>
      <c r="BB276" s="101">
        <f t="shared" si="94"/>
        <v>12394.29</v>
      </c>
      <c r="BC276" s="83"/>
      <c r="BD276" s="112">
        <f t="shared" si="103"/>
        <v>345.5</v>
      </c>
      <c r="BE276" s="136">
        <f t="shared" si="104"/>
        <v>12452.316714647128</v>
      </c>
      <c r="BF276" s="137">
        <f t="shared" si="105"/>
        <v>58.026714647126937</v>
      </c>
      <c r="BG276" s="113">
        <f t="shared" si="106"/>
        <v>4.6817296228446274E-3</v>
      </c>
    </row>
    <row r="277" spans="1:59" s="62" customFormat="1" outlineLevel="1" x14ac:dyDescent="0.25">
      <c r="A277" s="62" t="str">
        <f t="shared" si="98"/>
        <v>MURREYSMULTI-FAMILYM1.5YD3W</v>
      </c>
      <c r="B277" s="81" t="s">
        <v>1037</v>
      </c>
      <c r="C277" s="81" t="s">
        <v>1038</v>
      </c>
      <c r="D277" s="82">
        <v>255.77500000000001</v>
      </c>
      <c r="E277" s="82">
        <v>257.91500000000002</v>
      </c>
      <c r="F277" s="83">
        <v>0</v>
      </c>
      <c r="G277" s="83">
        <v>0</v>
      </c>
      <c r="H277" s="83">
        <v>0</v>
      </c>
      <c r="I277" s="83">
        <v>0</v>
      </c>
      <c r="J277" s="83">
        <v>0</v>
      </c>
      <c r="K277" s="83">
        <v>0</v>
      </c>
      <c r="L277" s="83">
        <v>0</v>
      </c>
      <c r="M277" s="83">
        <v>0</v>
      </c>
      <c r="N277" s="83">
        <v>0</v>
      </c>
      <c r="O277" s="83">
        <v>0</v>
      </c>
      <c r="P277" s="83">
        <v>0</v>
      </c>
      <c r="Q277" s="83">
        <v>0</v>
      </c>
      <c r="R277" s="116">
        <f t="shared" si="99"/>
        <v>0</v>
      </c>
      <c r="S277" s="83">
        <f t="shared" si="107"/>
        <v>0</v>
      </c>
      <c r="T277" s="83">
        <f t="shared" si="107"/>
        <v>0</v>
      </c>
      <c r="U277" s="83">
        <f t="shared" si="108"/>
        <v>0</v>
      </c>
      <c r="V277" s="83">
        <f t="shared" si="108"/>
        <v>0</v>
      </c>
      <c r="W277" s="83">
        <f t="shared" si="108"/>
        <v>0</v>
      </c>
      <c r="X277" s="83">
        <f t="shared" si="108"/>
        <v>0</v>
      </c>
      <c r="Y277" s="83">
        <f t="shared" si="108"/>
        <v>0</v>
      </c>
      <c r="Z277" s="83">
        <f t="shared" si="108"/>
        <v>0</v>
      </c>
      <c r="AA277" s="83">
        <f t="shared" si="108"/>
        <v>0</v>
      </c>
      <c r="AB277" s="83">
        <f t="shared" si="108"/>
        <v>0</v>
      </c>
      <c r="AC277" s="83">
        <f t="shared" si="108"/>
        <v>0</v>
      </c>
      <c r="AD277" s="83">
        <f t="shared" si="108"/>
        <v>0</v>
      </c>
      <c r="AE277" s="83">
        <f t="shared" si="102"/>
        <v>0</v>
      </c>
      <c r="AF277" s="83"/>
      <c r="AH277" s="83">
        <f>+SUM(S277:AD277)*$AL$275*$AL$274*$AL$283</f>
        <v>0</v>
      </c>
      <c r="AI277" s="83">
        <f t="shared" si="114"/>
        <v>0</v>
      </c>
      <c r="AK277" s="129" t="s">
        <v>1039</v>
      </c>
      <c r="AL277" s="130" t="s">
        <v>1040</v>
      </c>
      <c r="AN277" s="83">
        <f t="shared" ref="AN277:AY277" si="117">+S277*$AL$274*$AL$283</f>
        <v>0</v>
      </c>
      <c r="AO277" s="83">
        <f t="shared" si="117"/>
        <v>0</v>
      </c>
      <c r="AP277" s="83">
        <f t="shared" si="117"/>
        <v>0</v>
      </c>
      <c r="AQ277" s="83">
        <f t="shared" si="117"/>
        <v>0</v>
      </c>
      <c r="AR277" s="83">
        <f t="shared" si="117"/>
        <v>0</v>
      </c>
      <c r="AS277" s="83">
        <f t="shared" si="117"/>
        <v>0</v>
      </c>
      <c r="AT277" s="83">
        <f t="shared" si="117"/>
        <v>0</v>
      </c>
      <c r="AU277" s="83">
        <f t="shared" si="117"/>
        <v>0</v>
      </c>
      <c r="AV277" s="83">
        <f t="shared" si="117"/>
        <v>0</v>
      </c>
      <c r="AW277" s="83">
        <f t="shared" si="117"/>
        <v>0</v>
      </c>
      <c r="AX277" s="83">
        <f t="shared" si="117"/>
        <v>0</v>
      </c>
      <c r="AY277" s="83">
        <f t="shared" si="117"/>
        <v>0</v>
      </c>
      <c r="AZ277" s="83">
        <f t="shared" si="116"/>
        <v>0</v>
      </c>
      <c r="BB277" s="101">
        <f t="shared" si="94"/>
        <v>0</v>
      </c>
      <c r="BC277" s="83"/>
      <c r="BD277" s="112">
        <f t="shared" si="103"/>
        <v>259.12</v>
      </c>
      <c r="BE277" s="136">
        <f t="shared" si="104"/>
        <v>0</v>
      </c>
      <c r="BF277" s="137">
        <f t="shared" si="105"/>
        <v>0</v>
      </c>
      <c r="BG277" s="113">
        <f t="shared" si="106"/>
        <v>0</v>
      </c>
    </row>
    <row r="278" spans="1:59" s="62" customFormat="1" outlineLevel="1" x14ac:dyDescent="0.25">
      <c r="A278" s="62" t="str">
        <f t="shared" si="98"/>
        <v>MURREYSMULTI-FAMILYM1.5YDTPU</v>
      </c>
      <c r="B278" s="81" t="s">
        <v>1041</v>
      </c>
      <c r="C278" s="81" t="s">
        <v>1042</v>
      </c>
      <c r="D278" s="82">
        <v>166.24</v>
      </c>
      <c r="E278" s="82">
        <v>167.56</v>
      </c>
      <c r="F278" s="83">
        <v>0</v>
      </c>
      <c r="G278" s="83">
        <v>0</v>
      </c>
      <c r="H278" s="83">
        <v>0</v>
      </c>
      <c r="I278" s="83">
        <v>0</v>
      </c>
      <c r="J278" s="83">
        <v>0</v>
      </c>
      <c r="K278" s="83">
        <v>125.67</v>
      </c>
      <c r="L278" s="83">
        <v>41.89</v>
      </c>
      <c r="M278" s="83">
        <v>167.68</v>
      </c>
      <c r="N278" s="83">
        <v>42.01</v>
      </c>
      <c r="O278" s="83">
        <v>0</v>
      </c>
      <c r="P278" s="83">
        <v>0</v>
      </c>
      <c r="Q278" s="83">
        <v>0</v>
      </c>
      <c r="R278" s="116">
        <f t="shared" si="99"/>
        <v>377.25</v>
      </c>
      <c r="S278" s="83">
        <f t="shared" si="107"/>
        <v>0</v>
      </c>
      <c r="T278" s="83">
        <f t="shared" si="107"/>
        <v>0</v>
      </c>
      <c r="U278" s="83">
        <f t="shared" si="108"/>
        <v>0</v>
      </c>
      <c r="V278" s="83">
        <f t="shared" si="108"/>
        <v>0</v>
      </c>
      <c r="W278" s="83">
        <f t="shared" si="108"/>
        <v>0</v>
      </c>
      <c r="X278" s="83">
        <f t="shared" si="108"/>
        <v>0.75</v>
      </c>
      <c r="Y278" s="83">
        <f t="shared" si="108"/>
        <v>0.25</v>
      </c>
      <c r="Z278" s="83">
        <f t="shared" si="108"/>
        <v>1.0007161613750299</v>
      </c>
      <c r="AA278" s="83">
        <f t="shared" si="108"/>
        <v>0.25071616137502983</v>
      </c>
      <c r="AB278" s="83">
        <f t="shared" si="108"/>
        <v>0</v>
      </c>
      <c r="AC278" s="83">
        <f t="shared" si="108"/>
        <v>0</v>
      </c>
      <c r="AD278" s="83">
        <f t="shared" si="108"/>
        <v>0</v>
      </c>
      <c r="AE278" s="83">
        <f t="shared" si="102"/>
        <v>0.18761936022917167</v>
      </c>
      <c r="AF278" s="83"/>
      <c r="AH278" s="83"/>
      <c r="AI278" s="83"/>
      <c r="AK278" s="129"/>
      <c r="AL278" s="130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  <c r="AX278" s="83"/>
      <c r="AY278" s="83"/>
      <c r="AZ278" s="83"/>
      <c r="BB278" s="101">
        <f t="shared" si="94"/>
        <v>377.25000000000006</v>
      </c>
      <c r="BC278" s="83"/>
      <c r="BD278" s="112">
        <f t="shared" si="103"/>
        <v>168.34</v>
      </c>
      <c r="BE278" s="136">
        <f t="shared" si="104"/>
        <v>379.00611721174511</v>
      </c>
      <c r="BF278" s="137">
        <f t="shared" si="105"/>
        <v>1.7561172117450496</v>
      </c>
      <c r="BG278" s="113">
        <f t="shared" si="106"/>
        <v>4.6550489376939678E-3</v>
      </c>
    </row>
    <row r="279" spans="1:59" s="62" customFormat="1" outlineLevel="1" x14ac:dyDescent="0.25">
      <c r="A279" s="62" t="str">
        <f t="shared" si="98"/>
        <v>MURREYSMULTI-FAMILYM2YD1W</v>
      </c>
      <c r="B279" s="81" t="s">
        <v>1043</v>
      </c>
      <c r="C279" s="81" t="s">
        <v>1044</v>
      </c>
      <c r="D279" s="82">
        <v>215.16</v>
      </c>
      <c r="E279" s="82">
        <v>217.02</v>
      </c>
      <c r="F279" s="83">
        <v>30660.300000000003</v>
      </c>
      <c r="G279" s="83">
        <v>30122.400000000001</v>
      </c>
      <c r="H279" s="83">
        <v>30545.57</v>
      </c>
      <c r="I279" s="83">
        <v>30491.329999999998</v>
      </c>
      <c r="J279" s="83">
        <v>29398.199999999997</v>
      </c>
      <c r="K279" s="83">
        <v>29460.469999999998</v>
      </c>
      <c r="L279" s="83">
        <v>29351.96</v>
      </c>
      <c r="M279" s="83">
        <v>29270.629999999997</v>
      </c>
      <c r="N279" s="83">
        <v>30032.95</v>
      </c>
      <c r="O279" s="83">
        <v>29597.68</v>
      </c>
      <c r="P279" s="83">
        <v>30032.97</v>
      </c>
      <c r="Q279" s="83">
        <v>30468.2</v>
      </c>
      <c r="R279" s="116">
        <f t="shared" si="99"/>
        <v>359432.66</v>
      </c>
      <c r="S279" s="83">
        <f t="shared" si="107"/>
        <v>142.50000000000003</v>
      </c>
      <c r="T279" s="83">
        <f t="shared" si="107"/>
        <v>140</v>
      </c>
      <c r="U279" s="83">
        <f t="shared" si="108"/>
        <v>140.75002303935119</v>
      </c>
      <c r="V279" s="83">
        <f t="shared" si="108"/>
        <v>140.50009215740482</v>
      </c>
      <c r="W279" s="83">
        <f t="shared" si="108"/>
        <v>135.46309095935857</v>
      </c>
      <c r="X279" s="83">
        <f t="shared" si="108"/>
        <v>135.75002303935119</v>
      </c>
      <c r="Y279" s="83">
        <f t="shared" si="108"/>
        <v>135.25002303935119</v>
      </c>
      <c r="Z279" s="83">
        <f t="shared" si="108"/>
        <v>134.87526495253891</v>
      </c>
      <c r="AA279" s="83">
        <f t="shared" si="108"/>
        <v>138.38793659570547</v>
      </c>
      <c r="AB279" s="83">
        <f t="shared" si="108"/>
        <v>136.38226891530735</v>
      </c>
      <c r="AC279" s="83">
        <f t="shared" si="108"/>
        <v>138.38802875311032</v>
      </c>
      <c r="AD279" s="83">
        <f t="shared" si="108"/>
        <v>140.39351211869874</v>
      </c>
      <c r="AE279" s="83">
        <f t="shared" si="102"/>
        <v>138.22002196418148</v>
      </c>
      <c r="AF279" s="83"/>
      <c r="AH279" s="83">
        <f>+SUM(S279:AD279)*$AL$275*$AL$273*$AL$284</f>
        <v>63393.230873652188</v>
      </c>
      <c r="AI279" s="83">
        <f t="shared" si="114"/>
        <v>296039.42912634776</v>
      </c>
      <c r="AK279" s="123" t="s">
        <v>1045</v>
      </c>
      <c r="AL279" s="124">
        <f>+(52/12)*4</f>
        <v>17.333333333333332</v>
      </c>
      <c r="AN279" s="83">
        <f t="shared" ref="AN279:AY279" si="118">+S279*$AL$273*$AL$284</f>
        <v>1235.0000000000002</v>
      </c>
      <c r="AO279" s="83">
        <f t="shared" si="118"/>
        <v>1213.3333333333333</v>
      </c>
      <c r="AP279" s="83">
        <f t="shared" si="118"/>
        <v>1219.8335330077102</v>
      </c>
      <c r="AQ279" s="83">
        <f t="shared" si="118"/>
        <v>1217.6674653641751</v>
      </c>
      <c r="AR279" s="83">
        <f t="shared" si="118"/>
        <v>1174.0134549811075</v>
      </c>
      <c r="AS279" s="83">
        <f t="shared" si="118"/>
        <v>1176.500199674377</v>
      </c>
      <c r="AT279" s="83">
        <f t="shared" si="118"/>
        <v>1172.1668663410435</v>
      </c>
      <c r="AU279" s="83">
        <f t="shared" si="118"/>
        <v>1168.9189629220039</v>
      </c>
      <c r="AV279" s="83">
        <f t="shared" si="118"/>
        <v>1199.3621171627806</v>
      </c>
      <c r="AW279" s="83">
        <f t="shared" si="118"/>
        <v>1181.9796639326637</v>
      </c>
      <c r="AX279" s="83">
        <f t="shared" si="118"/>
        <v>1199.3629158602894</v>
      </c>
      <c r="AY279" s="83">
        <f t="shared" si="118"/>
        <v>1216.7437716953889</v>
      </c>
      <c r="AZ279" s="83">
        <f t="shared" si="116"/>
        <v>1197.9068570229058</v>
      </c>
      <c r="BB279" s="101">
        <f t="shared" si="94"/>
        <v>359958.11</v>
      </c>
      <c r="BC279" s="83"/>
      <c r="BD279" s="112">
        <f t="shared" si="103"/>
        <v>218.04</v>
      </c>
      <c r="BE279" s="136">
        <f t="shared" si="104"/>
        <v>361649.92306884157</v>
      </c>
      <c r="BF279" s="137">
        <f t="shared" si="105"/>
        <v>1691.813068841584</v>
      </c>
      <c r="BG279" s="113">
        <f t="shared" si="106"/>
        <v>4.700027647221462E-3</v>
      </c>
    </row>
    <row r="280" spans="1:59" s="62" customFormat="1" outlineLevel="1" x14ac:dyDescent="0.25">
      <c r="A280" s="62" t="str">
        <f t="shared" si="98"/>
        <v>MURREYSMULTI-FAMILYM2YD2W</v>
      </c>
      <c r="B280" s="81" t="s">
        <v>1046</v>
      </c>
      <c r="C280" s="81" t="s">
        <v>1047</v>
      </c>
      <c r="D280" s="82">
        <v>430.32</v>
      </c>
      <c r="E280" s="82">
        <v>434.04</v>
      </c>
      <c r="F280" s="83">
        <v>5594.16</v>
      </c>
      <c r="G280" s="83">
        <v>5594.16</v>
      </c>
      <c r="H280" s="83">
        <v>5642.5199999999995</v>
      </c>
      <c r="I280" s="83">
        <v>5642.5199999999995</v>
      </c>
      <c r="J280" s="83">
        <v>5642.5199999999995</v>
      </c>
      <c r="K280" s="83">
        <v>5642.5199999999995</v>
      </c>
      <c r="L280" s="83">
        <v>6076.5599999999995</v>
      </c>
      <c r="M280" s="83">
        <v>6093.5</v>
      </c>
      <c r="N280" s="83">
        <v>6093.5</v>
      </c>
      <c r="O280" s="83">
        <v>7399.25</v>
      </c>
      <c r="P280" s="83">
        <v>7399.25</v>
      </c>
      <c r="Q280" s="83">
        <v>7181.65</v>
      </c>
      <c r="R280" s="116">
        <f t="shared" si="99"/>
        <v>74002.109999999986</v>
      </c>
      <c r="S280" s="83">
        <f t="shared" si="107"/>
        <v>13</v>
      </c>
      <c r="T280" s="83">
        <f t="shared" si="107"/>
        <v>13</v>
      </c>
      <c r="U280" s="83">
        <f t="shared" si="108"/>
        <v>12.999999999999998</v>
      </c>
      <c r="V280" s="83">
        <f t="shared" si="108"/>
        <v>12.999999999999998</v>
      </c>
      <c r="W280" s="83">
        <f t="shared" si="108"/>
        <v>12.999999999999998</v>
      </c>
      <c r="X280" s="83">
        <f t="shared" si="108"/>
        <v>12.999999999999998</v>
      </c>
      <c r="Y280" s="83">
        <f t="shared" si="108"/>
        <v>13.999999999999998</v>
      </c>
      <c r="Z280" s="83">
        <f t="shared" si="108"/>
        <v>14.039028660952907</v>
      </c>
      <c r="AA280" s="83">
        <f t="shared" si="108"/>
        <v>14.039028660952907</v>
      </c>
      <c r="AB280" s="83">
        <f t="shared" si="108"/>
        <v>17.047391945442815</v>
      </c>
      <c r="AC280" s="83">
        <f t="shared" si="108"/>
        <v>17.047391945442815</v>
      </c>
      <c r="AD280" s="83">
        <f t="shared" si="108"/>
        <v>16.546055663072526</v>
      </c>
      <c r="AE280" s="83">
        <f t="shared" si="102"/>
        <v>14.226574739655334</v>
      </c>
      <c r="AF280" s="83"/>
      <c r="AH280" s="83">
        <f>+SUM(S280:AD280)*$AL$275*$AL$288*$AL$284</f>
        <v>13049.752477191043</v>
      </c>
      <c r="AI280" s="83">
        <f t="shared" si="114"/>
        <v>60952.357522808947</v>
      </c>
      <c r="AK280" s="123" t="s">
        <v>1048</v>
      </c>
      <c r="AL280" s="124">
        <v>1</v>
      </c>
      <c r="AN280" s="83">
        <f t="shared" ref="AN280:AY280" si="119">S280*$AL$288*$AL$284</f>
        <v>225.33333333333331</v>
      </c>
      <c r="AO280" s="83">
        <f t="shared" si="119"/>
        <v>225.33333333333331</v>
      </c>
      <c r="AP280" s="83">
        <f t="shared" si="119"/>
        <v>225.33333333333329</v>
      </c>
      <c r="AQ280" s="83">
        <f t="shared" si="119"/>
        <v>225.33333333333329</v>
      </c>
      <c r="AR280" s="83">
        <f t="shared" si="119"/>
        <v>225.33333333333329</v>
      </c>
      <c r="AS280" s="83">
        <f t="shared" si="119"/>
        <v>225.33333333333329</v>
      </c>
      <c r="AT280" s="83">
        <f t="shared" si="119"/>
        <v>242.66666666666663</v>
      </c>
      <c r="AU280" s="83">
        <f t="shared" si="119"/>
        <v>243.34316345651703</v>
      </c>
      <c r="AV280" s="83">
        <f t="shared" si="119"/>
        <v>243.34316345651703</v>
      </c>
      <c r="AW280" s="83">
        <f t="shared" si="119"/>
        <v>295.4881270543421</v>
      </c>
      <c r="AX280" s="83">
        <f t="shared" si="119"/>
        <v>295.4881270543421</v>
      </c>
      <c r="AY280" s="83">
        <f t="shared" si="119"/>
        <v>286.79829815992377</v>
      </c>
      <c r="AZ280" s="83">
        <f t="shared" si="116"/>
        <v>246.59396215402569</v>
      </c>
      <c r="BB280" s="101">
        <f t="shared" si="94"/>
        <v>74098.830000000016</v>
      </c>
      <c r="BC280" s="83"/>
      <c r="BD280" s="112">
        <f t="shared" si="103"/>
        <v>436.07</v>
      </c>
      <c r="BE280" s="136">
        <f t="shared" si="104"/>
        <v>74445.38936065801</v>
      </c>
      <c r="BF280" s="137">
        <f t="shared" si="105"/>
        <v>346.55936065799324</v>
      </c>
      <c r="BG280" s="113">
        <f t="shared" si="106"/>
        <v>4.67698829600944E-3</v>
      </c>
    </row>
    <row r="281" spans="1:59" s="62" customFormat="1" outlineLevel="1" x14ac:dyDescent="0.25">
      <c r="A281" s="62" t="str">
        <f t="shared" si="98"/>
        <v>MURREYSMULTI-FAMILYM2YD3W</v>
      </c>
      <c r="B281" s="81" t="s">
        <v>1049</v>
      </c>
      <c r="C281" s="81" t="s">
        <v>1050</v>
      </c>
      <c r="D281" s="82">
        <v>645.47</v>
      </c>
      <c r="E281" s="82">
        <v>651.05999999999995</v>
      </c>
      <c r="F281" s="83">
        <v>1290.94</v>
      </c>
      <c r="G281" s="83">
        <v>1290.94</v>
      </c>
      <c r="H281" s="83">
        <v>1302.1199999999999</v>
      </c>
      <c r="I281" s="83">
        <v>1302.1199999999999</v>
      </c>
      <c r="J281" s="83">
        <v>1302.1199999999999</v>
      </c>
      <c r="K281" s="83">
        <v>1302.1199999999999</v>
      </c>
      <c r="L281" s="83">
        <v>1302.1199999999999</v>
      </c>
      <c r="M281" s="83">
        <v>1305.76</v>
      </c>
      <c r="N281" s="83">
        <v>1305.76</v>
      </c>
      <c r="O281" s="83">
        <v>1305.76</v>
      </c>
      <c r="P281" s="83">
        <v>1305.76</v>
      </c>
      <c r="Q281" s="83">
        <v>1305.76</v>
      </c>
      <c r="R281" s="116">
        <f t="shared" si="99"/>
        <v>15621.28</v>
      </c>
      <c r="S281" s="83">
        <f t="shared" si="107"/>
        <v>2</v>
      </c>
      <c r="T281" s="83">
        <f t="shared" si="107"/>
        <v>2</v>
      </c>
      <c r="U281" s="83">
        <f t="shared" si="108"/>
        <v>2</v>
      </c>
      <c r="V281" s="83">
        <f t="shared" si="108"/>
        <v>2</v>
      </c>
      <c r="W281" s="83">
        <f t="shared" si="108"/>
        <v>2</v>
      </c>
      <c r="X281" s="83">
        <f t="shared" si="108"/>
        <v>2</v>
      </c>
      <c r="Y281" s="83">
        <f t="shared" si="108"/>
        <v>2</v>
      </c>
      <c r="Z281" s="83">
        <f t="shared" si="108"/>
        <v>2.0055908825607474</v>
      </c>
      <c r="AA281" s="83">
        <f t="shared" si="108"/>
        <v>2.0055908825607474</v>
      </c>
      <c r="AB281" s="83">
        <f t="shared" si="108"/>
        <v>2.0055908825607474</v>
      </c>
      <c r="AC281" s="83">
        <f t="shared" si="108"/>
        <v>2.0055908825607474</v>
      </c>
      <c r="AD281" s="83">
        <f t="shared" si="108"/>
        <v>2.0055908825607474</v>
      </c>
      <c r="AE281" s="83">
        <f t="shared" si="102"/>
        <v>2.0023295344003107</v>
      </c>
      <c r="AF281" s="83"/>
      <c r="AH281" s="83">
        <f>+SUM(S281:AD281)*$AL$275*$AL$274*$AL$284</f>
        <v>2755.0452529720756</v>
      </c>
      <c r="AI281" s="83">
        <f t="shared" si="114"/>
        <v>12866.234747027926</v>
      </c>
      <c r="AK281" s="127"/>
      <c r="AL281" s="128"/>
      <c r="AN281" s="83">
        <f t="shared" ref="AN281:AY281" si="120">+S281*$AL$274*$AL$284</f>
        <v>52</v>
      </c>
      <c r="AO281" s="83">
        <f t="shared" si="120"/>
        <v>52</v>
      </c>
      <c r="AP281" s="83">
        <f t="shared" si="120"/>
        <v>52</v>
      </c>
      <c r="AQ281" s="83">
        <f t="shared" si="120"/>
        <v>52</v>
      </c>
      <c r="AR281" s="83">
        <f t="shared" si="120"/>
        <v>52</v>
      </c>
      <c r="AS281" s="83">
        <f t="shared" si="120"/>
        <v>52</v>
      </c>
      <c r="AT281" s="83">
        <f t="shared" si="120"/>
        <v>52</v>
      </c>
      <c r="AU281" s="83">
        <f t="shared" si="120"/>
        <v>52.145362946579432</v>
      </c>
      <c r="AV281" s="83">
        <f t="shared" si="120"/>
        <v>52.145362946579432</v>
      </c>
      <c r="AW281" s="83">
        <f t="shared" si="120"/>
        <v>52.145362946579432</v>
      </c>
      <c r="AX281" s="83">
        <f t="shared" si="120"/>
        <v>52.145362946579432</v>
      </c>
      <c r="AY281" s="83">
        <f t="shared" si="120"/>
        <v>52.145362946579432</v>
      </c>
      <c r="AZ281" s="83">
        <f t="shared" si="116"/>
        <v>52.060567894408102</v>
      </c>
      <c r="BB281" s="101">
        <f t="shared" si="94"/>
        <v>15643.639999999992</v>
      </c>
      <c r="BC281" s="83"/>
      <c r="BD281" s="112">
        <f t="shared" si="103"/>
        <v>654.11</v>
      </c>
      <c r="BE281" s="136">
        <f t="shared" si="104"/>
        <v>15716.925260959048</v>
      </c>
      <c r="BF281" s="137">
        <f t="shared" si="105"/>
        <v>73.285260959055449</v>
      </c>
      <c r="BG281" s="113">
        <f t="shared" si="106"/>
        <v>4.6846680797471363E-3</v>
      </c>
    </row>
    <row r="282" spans="1:59" s="62" customFormat="1" outlineLevel="1" x14ac:dyDescent="0.25">
      <c r="A282" s="62" t="str">
        <f t="shared" si="98"/>
        <v>MURREYSMULTI-FAMILYM2YDTPU</v>
      </c>
      <c r="B282" s="81" t="s">
        <v>1051</v>
      </c>
      <c r="C282" s="81" t="s">
        <v>1052</v>
      </c>
      <c r="D282" s="82">
        <v>207.44</v>
      </c>
      <c r="E282" s="82">
        <v>209.16</v>
      </c>
      <c r="F282" s="83">
        <v>674.18</v>
      </c>
      <c r="G282" s="83">
        <v>622.32000000000005</v>
      </c>
      <c r="H282" s="83">
        <v>676.76</v>
      </c>
      <c r="I282" s="83">
        <v>679.34</v>
      </c>
      <c r="J282" s="83">
        <v>601.47</v>
      </c>
      <c r="K282" s="83">
        <v>313.74</v>
      </c>
      <c r="L282" s="83">
        <v>0</v>
      </c>
      <c r="M282" s="83">
        <v>52.44</v>
      </c>
      <c r="N282" s="83">
        <v>170.28</v>
      </c>
      <c r="O282" s="83">
        <v>0</v>
      </c>
      <c r="P282" s="83">
        <v>227.04</v>
      </c>
      <c r="Q282" s="83">
        <v>56.76</v>
      </c>
      <c r="R282" s="116">
        <f t="shared" si="99"/>
        <v>4074.33</v>
      </c>
      <c r="S282" s="83">
        <f t="shared" si="107"/>
        <v>3.25</v>
      </c>
      <c r="T282" s="83">
        <f t="shared" si="107"/>
        <v>3.0000000000000004</v>
      </c>
      <c r="U282" s="83">
        <f t="shared" si="108"/>
        <v>3.2356091030789824</v>
      </c>
      <c r="V282" s="83">
        <f t="shared" si="108"/>
        <v>3.2479441575827122</v>
      </c>
      <c r="W282" s="83">
        <f t="shared" si="108"/>
        <v>2.8756454388984509</v>
      </c>
      <c r="X282" s="83">
        <f t="shared" si="108"/>
        <v>1.5</v>
      </c>
      <c r="Y282" s="83">
        <f t="shared" si="108"/>
        <v>0</v>
      </c>
      <c r="Z282" s="83">
        <f t="shared" si="108"/>
        <v>0.25071715433161218</v>
      </c>
      <c r="AA282" s="83">
        <f t="shared" si="108"/>
        <v>0.81411359724612742</v>
      </c>
      <c r="AB282" s="83">
        <f t="shared" si="108"/>
        <v>0</v>
      </c>
      <c r="AC282" s="83">
        <f t="shared" si="108"/>
        <v>1.0854847963281697</v>
      </c>
      <c r="AD282" s="83">
        <f t="shared" si="108"/>
        <v>0.27137119908204244</v>
      </c>
      <c r="AE282" s="83">
        <f t="shared" si="102"/>
        <v>1.6275737872123415</v>
      </c>
      <c r="AF282" s="83"/>
      <c r="AH282" s="83">
        <f>+SUM(S282:AD282)*$AL$275*$AL$284</f>
        <v>172.26240963855423</v>
      </c>
      <c r="AI282" s="83">
        <f t="shared" si="114"/>
        <v>3902.0675903614456</v>
      </c>
      <c r="AK282" s="123" t="s">
        <v>1053</v>
      </c>
      <c r="AL282" s="124">
        <v>1</v>
      </c>
      <c r="AN282" s="83">
        <f t="shared" ref="AN282:AY282" si="121">+S276*$AL$284</f>
        <v>6.0000000000000009</v>
      </c>
      <c r="AO282" s="83">
        <f t="shared" si="121"/>
        <v>6.0000000000000009</v>
      </c>
      <c r="AP282" s="83">
        <f t="shared" si="121"/>
        <v>6.0000000000000009</v>
      </c>
      <c r="AQ282" s="83">
        <f t="shared" si="121"/>
        <v>6.0000000000000009</v>
      </c>
      <c r="AR282" s="83">
        <f t="shared" si="121"/>
        <v>6.0000000000000009</v>
      </c>
      <c r="AS282" s="83">
        <f t="shared" si="121"/>
        <v>6.0000000000000009</v>
      </c>
      <c r="AT282" s="83">
        <f t="shared" si="121"/>
        <v>6.0000000000000009</v>
      </c>
      <c r="AU282" s="83">
        <f t="shared" si="121"/>
        <v>6.0165750676088283</v>
      </c>
      <c r="AV282" s="83">
        <f t="shared" si="121"/>
        <v>6.0165750676088283</v>
      </c>
      <c r="AW282" s="83">
        <f t="shared" si="121"/>
        <v>6.0165750676088283</v>
      </c>
      <c r="AX282" s="83">
        <f t="shared" si="121"/>
        <v>6.0165750676088283</v>
      </c>
      <c r="AY282" s="83">
        <f t="shared" si="121"/>
        <v>6.0165750676088283</v>
      </c>
      <c r="AZ282" s="83">
        <f t="shared" si="116"/>
        <v>6.0069062781703453</v>
      </c>
      <c r="BB282" s="101">
        <f t="shared" si="94"/>
        <v>4085.08</v>
      </c>
      <c r="BC282" s="83"/>
      <c r="BD282" s="112">
        <f t="shared" si="103"/>
        <v>210.14</v>
      </c>
      <c r="BE282" s="136">
        <f t="shared" si="104"/>
        <v>4104.2202677376172</v>
      </c>
      <c r="BF282" s="137">
        <f t="shared" si="105"/>
        <v>19.140267737617251</v>
      </c>
      <c r="BG282" s="113">
        <f t="shared" si="106"/>
        <v>4.6854082998661591E-3</v>
      </c>
    </row>
    <row r="283" spans="1:59" s="62" customFormat="1" outlineLevel="1" x14ac:dyDescent="0.25">
      <c r="A283" s="62" t="str">
        <f t="shared" si="98"/>
        <v>MURREYSMULTI-FAMILYM4YD1W</v>
      </c>
      <c r="B283" s="81" t="s">
        <v>1054</v>
      </c>
      <c r="C283" s="81" t="s">
        <v>1055</v>
      </c>
      <c r="D283" s="82">
        <v>409.06</v>
      </c>
      <c r="E283" s="82">
        <v>412.56</v>
      </c>
      <c r="F283" s="83">
        <v>8692.5300000000007</v>
      </c>
      <c r="G283" s="83">
        <v>8590.26</v>
      </c>
      <c r="H283" s="83">
        <v>8663.76</v>
      </c>
      <c r="I283" s="83">
        <v>8663.76</v>
      </c>
      <c r="J283" s="83">
        <v>8663.76</v>
      </c>
      <c r="K283" s="83">
        <v>8560.6200000000008</v>
      </c>
      <c r="L283" s="83">
        <v>8251.2000000000007</v>
      </c>
      <c r="M283" s="83">
        <v>8274.6</v>
      </c>
      <c r="N283" s="83">
        <v>9102.0600000000013</v>
      </c>
      <c r="O283" s="83">
        <v>10343.26</v>
      </c>
      <c r="P283" s="83">
        <v>10550.12</v>
      </c>
      <c r="Q283" s="83">
        <v>10343.25</v>
      </c>
      <c r="R283" s="116">
        <f t="shared" si="99"/>
        <v>108699.18000000001</v>
      </c>
      <c r="S283" s="83">
        <f t="shared" si="107"/>
        <v>21.250012223145749</v>
      </c>
      <c r="T283" s="83">
        <f t="shared" si="107"/>
        <v>21</v>
      </c>
      <c r="U283" s="83">
        <f t="shared" si="108"/>
        <v>21</v>
      </c>
      <c r="V283" s="83">
        <f t="shared" si="108"/>
        <v>21</v>
      </c>
      <c r="W283" s="83">
        <f t="shared" si="108"/>
        <v>21</v>
      </c>
      <c r="X283" s="83">
        <f t="shared" si="108"/>
        <v>20.750000000000004</v>
      </c>
      <c r="Y283" s="83">
        <f t="shared" si="108"/>
        <v>20</v>
      </c>
      <c r="Z283" s="83">
        <f t="shared" si="108"/>
        <v>20.056719022687609</v>
      </c>
      <c r="AA283" s="83">
        <f t="shared" si="108"/>
        <v>22.062390924956372</v>
      </c>
      <c r="AB283" s="83">
        <f t="shared" si="108"/>
        <v>25.070923017258096</v>
      </c>
      <c r="AC283" s="83">
        <f t="shared" si="108"/>
        <v>25.572328873375994</v>
      </c>
      <c r="AD283" s="83">
        <f t="shared" si="108"/>
        <v>25.07089877835951</v>
      </c>
      <c r="AE283" s="83">
        <f t="shared" si="102"/>
        <v>21.986106069981943</v>
      </c>
      <c r="AF283" s="83"/>
      <c r="AH283" s="83">
        <f>+SUM(S283:AD283)*$AL$275*$AL$273*$AL$285</f>
        <v>20167.415375873035</v>
      </c>
      <c r="AI283" s="83">
        <f t="shared" si="114"/>
        <v>88531.764624126969</v>
      </c>
      <c r="AK283" s="123" t="s">
        <v>1056</v>
      </c>
      <c r="AL283" s="124">
        <v>1.5</v>
      </c>
      <c r="AN283" s="83">
        <f t="shared" ref="AN283:AY283" si="122">+S283*$AL$273*$AL$285</f>
        <v>368.33354520119298</v>
      </c>
      <c r="AO283" s="83">
        <f t="shared" si="122"/>
        <v>364</v>
      </c>
      <c r="AP283" s="83">
        <f t="shared" si="122"/>
        <v>364</v>
      </c>
      <c r="AQ283" s="83">
        <f t="shared" si="122"/>
        <v>364</v>
      </c>
      <c r="AR283" s="83">
        <f t="shared" si="122"/>
        <v>364</v>
      </c>
      <c r="AS283" s="83">
        <f t="shared" si="122"/>
        <v>359.66666666666669</v>
      </c>
      <c r="AT283" s="83">
        <f t="shared" si="122"/>
        <v>346.66666666666663</v>
      </c>
      <c r="AU283" s="83">
        <f t="shared" si="122"/>
        <v>347.64979639325185</v>
      </c>
      <c r="AV283" s="83">
        <f t="shared" si="122"/>
        <v>382.41477603257709</v>
      </c>
      <c r="AW283" s="83">
        <f t="shared" si="122"/>
        <v>434.56266563247362</v>
      </c>
      <c r="AX283" s="83">
        <f t="shared" si="122"/>
        <v>443.25370047185055</v>
      </c>
      <c r="AY283" s="83">
        <f t="shared" si="122"/>
        <v>434.56224549156479</v>
      </c>
      <c r="AZ283" s="83">
        <f t="shared" si="116"/>
        <v>381.09250521302033</v>
      </c>
      <c r="BB283" s="101">
        <f t="shared" si="94"/>
        <v>108847.05504278099</v>
      </c>
      <c r="BC283" s="83"/>
      <c r="BD283" s="112">
        <f t="shared" si="103"/>
        <v>414.49</v>
      </c>
      <c r="BE283" s="136">
        <f t="shared" si="104"/>
        <v>109356.25325936179</v>
      </c>
      <c r="BF283" s="137">
        <f t="shared" si="105"/>
        <v>509.19821658080036</v>
      </c>
      <c r="BG283" s="113">
        <f t="shared" si="106"/>
        <v>4.678107426798697E-3</v>
      </c>
    </row>
    <row r="284" spans="1:59" s="62" customFormat="1" outlineLevel="1" x14ac:dyDescent="0.25">
      <c r="A284" s="62" t="str">
        <f t="shared" si="98"/>
        <v>MURREYSMULTI-FAMILYM4YD2W</v>
      </c>
      <c r="B284" s="81" t="s">
        <v>1057</v>
      </c>
      <c r="C284" s="81" t="s">
        <v>1058</v>
      </c>
      <c r="D284" s="82">
        <v>818.11</v>
      </c>
      <c r="E284" s="82">
        <v>825.12</v>
      </c>
      <c r="F284" s="83">
        <v>1636.22</v>
      </c>
      <c r="G284" s="83">
        <v>1636.22</v>
      </c>
      <c r="H284" s="83">
        <v>1650.24</v>
      </c>
      <c r="I284" s="83">
        <v>1650.24</v>
      </c>
      <c r="J284" s="83">
        <v>1650.24</v>
      </c>
      <c r="K284" s="83">
        <v>1650.24</v>
      </c>
      <c r="L284" s="83">
        <v>1650.24</v>
      </c>
      <c r="M284" s="83">
        <v>2482.38</v>
      </c>
      <c r="N284" s="83">
        <v>2482.38</v>
      </c>
      <c r="O284" s="83">
        <v>2068.65</v>
      </c>
      <c r="P284" s="83">
        <v>1654.92</v>
      </c>
      <c r="Q284" s="83">
        <v>2482.38</v>
      </c>
      <c r="R284" s="116">
        <f t="shared" si="99"/>
        <v>22694.350000000002</v>
      </c>
      <c r="S284" s="83">
        <f t="shared" si="107"/>
        <v>2</v>
      </c>
      <c r="T284" s="83">
        <f t="shared" si="107"/>
        <v>2</v>
      </c>
      <c r="U284" s="83">
        <f t="shared" si="108"/>
        <v>2</v>
      </c>
      <c r="V284" s="83">
        <f t="shared" si="108"/>
        <v>2</v>
      </c>
      <c r="W284" s="83">
        <f t="shared" si="108"/>
        <v>2</v>
      </c>
      <c r="X284" s="83">
        <f t="shared" si="108"/>
        <v>2</v>
      </c>
      <c r="Y284" s="83">
        <f t="shared" si="108"/>
        <v>2</v>
      </c>
      <c r="Z284" s="83">
        <f t="shared" si="108"/>
        <v>3.0085078534031413</v>
      </c>
      <c r="AA284" s="83">
        <f t="shared" si="108"/>
        <v>3.0085078534031413</v>
      </c>
      <c r="AB284" s="83">
        <f t="shared" si="108"/>
        <v>2.5070898778359512</v>
      </c>
      <c r="AC284" s="83">
        <f t="shared" si="108"/>
        <v>2.005671902268761</v>
      </c>
      <c r="AD284" s="83">
        <f t="shared" si="108"/>
        <v>3.0085078534031413</v>
      </c>
      <c r="AE284" s="83">
        <f t="shared" si="102"/>
        <v>2.2948571116928451</v>
      </c>
      <c r="AF284" s="83"/>
      <c r="AH284" s="83">
        <f>+SUM(S284:AD284)*$AL$275*$AL$288*$AL$285</f>
        <v>4210.0530628272254</v>
      </c>
      <c r="AI284" s="83">
        <f t="shared" si="114"/>
        <v>18484.296937172778</v>
      </c>
      <c r="AK284" s="123" t="s">
        <v>1059</v>
      </c>
      <c r="AL284" s="124">
        <v>2</v>
      </c>
      <c r="AN284" s="83">
        <f t="shared" ref="AN284:AY284" si="123">+S284*$AL$288*$AL$285</f>
        <v>69.333333333333329</v>
      </c>
      <c r="AO284" s="83">
        <f t="shared" si="123"/>
        <v>69.333333333333329</v>
      </c>
      <c r="AP284" s="83">
        <f t="shared" si="123"/>
        <v>69.333333333333329</v>
      </c>
      <c r="AQ284" s="83">
        <f t="shared" si="123"/>
        <v>69.333333333333329</v>
      </c>
      <c r="AR284" s="83">
        <f t="shared" si="123"/>
        <v>69.333333333333329</v>
      </c>
      <c r="AS284" s="83">
        <f t="shared" si="123"/>
        <v>69.333333333333329</v>
      </c>
      <c r="AT284" s="83">
        <f t="shared" si="123"/>
        <v>69.333333333333329</v>
      </c>
      <c r="AU284" s="83">
        <f t="shared" si="123"/>
        <v>104.29493891797556</v>
      </c>
      <c r="AV284" s="83">
        <f t="shared" si="123"/>
        <v>104.29493891797556</v>
      </c>
      <c r="AW284" s="83">
        <f t="shared" si="123"/>
        <v>86.912449098312962</v>
      </c>
      <c r="AX284" s="83">
        <f t="shared" si="123"/>
        <v>69.529959278650381</v>
      </c>
      <c r="AY284" s="83">
        <f t="shared" si="123"/>
        <v>104.29493891797556</v>
      </c>
      <c r="AZ284" s="83">
        <f t="shared" si="116"/>
        <v>79.555046538685261</v>
      </c>
      <c r="BB284" s="101">
        <f t="shared" si="94"/>
        <v>22722.390000000007</v>
      </c>
      <c r="BC284" s="83"/>
      <c r="BD284" s="112">
        <f t="shared" si="103"/>
        <v>828.98</v>
      </c>
      <c r="BE284" s="136">
        <f t="shared" si="104"/>
        <v>22828.687781413617</v>
      </c>
      <c r="BF284" s="137">
        <f t="shared" si="105"/>
        <v>106.29778141361021</v>
      </c>
      <c r="BG284" s="113">
        <f t="shared" si="106"/>
        <v>4.6781074267984212E-3</v>
      </c>
    </row>
    <row r="285" spans="1:59" s="62" customFormat="1" outlineLevel="1" x14ac:dyDescent="0.25">
      <c r="A285" s="62" t="str">
        <f t="shared" si="98"/>
        <v>MURREYSMULTI-FAMILYM6YD1W</v>
      </c>
      <c r="B285" s="81" t="s">
        <v>1060</v>
      </c>
      <c r="C285" s="81" t="s">
        <v>1061</v>
      </c>
      <c r="D285" s="82">
        <v>574.59</v>
      </c>
      <c r="E285" s="82">
        <v>579.35</v>
      </c>
      <c r="F285" s="83">
        <v>18674.18</v>
      </c>
      <c r="G285" s="83">
        <v>18121.48</v>
      </c>
      <c r="H285" s="83">
        <v>18539.2</v>
      </c>
      <c r="I285" s="83">
        <v>18104.689999999999</v>
      </c>
      <c r="J285" s="83">
        <v>17959.849999999999</v>
      </c>
      <c r="K285" s="83">
        <v>18539.2</v>
      </c>
      <c r="L285" s="83">
        <v>19553.060000000001</v>
      </c>
      <c r="M285" s="83">
        <v>19462.16</v>
      </c>
      <c r="N285" s="83">
        <v>18590.72</v>
      </c>
      <c r="O285" s="83">
        <v>19171.68</v>
      </c>
      <c r="P285" s="83">
        <v>19462.16</v>
      </c>
      <c r="Q285" s="83">
        <v>19752.64</v>
      </c>
      <c r="R285" s="116">
        <f t="shared" si="99"/>
        <v>225931.01999999996</v>
      </c>
      <c r="S285" s="83">
        <f t="shared" si="107"/>
        <v>32.500008701856977</v>
      </c>
      <c r="T285" s="83">
        <f t="shared" si="107"/>
        <v>31.538105431699123</v>
      </c>
      <c r="U285" s="83">
        <f t="shared" si="108"/>
        <v>32</v>
      </c>
      <c r="V285" s="83">
        <f t="shared" si="108"/>
        <v>31.250004315180803</v>
      </c>
      <c r="W285" s="83">
        <f t="shared" si="108"/>
        <v>30.999999999999996</v>
      </c>
      <c r="X285" s="83">
        <f t="shared" si="108"/>
        <v>32</v>
      </c>
      <c r="Y285" s="83">
        <f t="shared" si="108"/>
        <v>33.749995684819197</v>
      </c>
      <c r="Z285" s="83">
        <f t="shared" si="108"/>
        <v>33.59309571071028</v>
      </c>
      <c r="AA285" s="83">
        <f t="shared" si="108"/>
        <v>32.088927246051611</v>
      </c>
      <c r="AB285" s="83">
        <f t="shared" si="108"/>
        <v>33.091706222490721</v>
      </c>
      <c r="AC285" s="83">
        <f t="shared" si="108"/>
        <v>33.59309571071028</v>
      </c>
      <c r="AD285" s="83">
        <f t="shared" si="108"/>
        <v>34.094485198929831</v>
      </c>
      <c r="AE285" s="83">
        <f t="shared" si="102"/>
        <v>32.541618685204064</v>
      </c>
      <c r="AF285" s="83"/>
      <c r="AH285" s="83">
        <f>+SUM(S285:AD285)*$AL$275*$AL$273*$AL$286</f>
        <v>44774.66398134597</v>
      </c>
      <c r="AI285" s="83">
        <f t="shared" si="114"/>
        <v>181156.35601865398</v>
      </c>
      <c r="AK285" s="123" t="s">
        <v>1062</v>
      </c>
      <c r="AL285" s="124">
        <v>4</v>
      </c>
      <c r="AN285" s="83">
        <f t="shared" ref="AN285:AY285" si="124">S285*$AL$273*$AL$286</f>
        <v>845.00022624828125</v>
      </c>
      <c r="AO285" s="83">
        <f t="shared" si="124"/>
        <v>819.9907412241771</v>
      </c>
      <c r="AP285" s="83">
        <f t="shared" si="124"/>
        <v>832</v>
      </c>
      <c r="AQ285" s="83">
        <f t="shared" si="124"/>
        <v>812.50011219470093</v>
      </c>
      <c r="AR285" s="83">
        <f t="shared" si="124"/>
        <v>805.99999999999989</v>
      </c>
      <c r="AS285" s="83">
        <f t="shared" si="124"/>
        <v>832</v>
      </c>
      <c r="AT285" s="83">
        <f t="shared" si="124"/>
        <v>877.49988780529907</v>
      </c>
      <c r="AU285" s="83">
        <f t="shared" si="124"/>
        <v>873.42048847846718</v>
      </c>
      <c r="AV285" s="83">
        <f t="shared" si="124"/>
        <v>834.31210839734183</v>
      </c>
      <c r="AW285" s="83">
        <f t="shared" si="124"/>
        <v>860.38436178475877</v>
      </c>
      <c r="AX285" s="83">
        <f t="shared" si="124"/>
        <v>873.42048847846718</v>
      </c>
      <c r="AY285" s="83">
        <f t="shared" si="124"/>
        <v>886.45661517217559</v>
      </c>
      <c r="AZ285" s="83">
        <f t="shared" si="116"/>
        <v>846.08208581530573</v>
      </c>
      <c r="BB285" s="101">
        <f t="shared" si="94"/>
        <v>226235.84142327571</v>
      </c>
      <c r="BC285" s="83"/>
      <c r="BD285" s="112">
        <f t="shared" si="103"/>
        <v>582.05999999999995</v>
      </c>
      <c r="BE285" s="136">
        <f t="shared" si="104"/>
        <v>227294.09486291851</v>
      </c>
      <c r="BF285" s="137">
        <f t="shared" si="105"/>
        <v>1058.2534396428091</v>
      </c>
      <c r="BG285" s="113">
        <f t="shared" si="106"/>
        <v>4.6776559937860198E-3</v>
      </c>
    </row>
    <row r="286" spans="1:59" s="62" customFormat="1" ht="15.75" outlineLevel="1" thickBot="1" x14ac:dyDescent="0.3">
      <c r="A286" s="62" t="str">
        <f t="shared" si="98"/>
        <v>MURREYSMULTI-FAMILYM6YD2W</v>
      </c>
      <c r="B286" s="81" t="s">
        <v>1063</v>
      </c>
      <c r="C286" s="81" t="s">
        <v>1064</v>
      </c>
      <c r="D286" s="82">
        <v>1149.18</v>
      </c>
      <c r="E286" s="82">
        <v>1158.71</v>
      </c>
      <c r="F286" s="83">
        <v>24132.78</v>
      </c>
      <c r="G286" s="83">
        <v>25281.96</v>
      </c>
      <c r="H286" s="83">
        <v>25491.62</v>
      </c>
      <c r="I286" s="83">
        <v>25491.62</v>
      </c>
      <c r="J286" s="83">
        <v>25491.62</v>
      </c>
      <c r="K286" s="83">
        <v>24622.590000000004</v>
      </c>
      <c r="L286" s="83">
        <v>23174.2</v>
      </c>
      <c r="M286" s="83">
        <v>23238.2</v>
      </c>
      <c r="N286" s="83">
        <v>23238.2</v>
      </c>
      <c r="O286" s="83">
        <v>24400.11</v>
      </c>
      <c r="P286" s="83">
        <v>24400.11</v>
      </c>
      <c r="Q286" s="83">
        <v>24400.11</v>
      </c>
      <c r="R286" s="116">
        <f t="shared" si="99"/>
        <v>293363.12</v>
      </c>
      <c r="S286" s="83">
        <f t="shared" si="107"/>
        <v>20.999999999999996</v>
      </c>
      <c r="T286" s="83">
        <f t="shared" si="107"/>
        <v>21.999999999999996</v>
      </c>
      <c r="U286" s="83">
        <f t="shared" si="108"/>
        <v>22</v>
      </c>
      <c r="V286" s="83">
        <f t="shared" si="108"/>
        <v>22</v>
      </c>
      <c r="W286" s="83">
        <f t="shared" si="108"/>
        <v>22</v>
      </c>
      <c r="X286" s="83">
        <f t="shared" si="108"/>
        <v>21.250002157571785</v>
      </c>
      <c r="Y286" s="83">
        <f t="shared" si="108"/>
        <v>20</v>
      </c>
      <c r="Z286" s="83">
        <f t="shared" si="108"/>
        <v>20.055233837629778</v>
      </c>
      <c r="AA286" s="83">
        <f t="shared" si="108"/>
        <v>20.055233837629778</v>
      </c>
      <c r="AB286" s="83">
        <f t="shared" si="108"/>
        <v>21.057995529511267</v>
      </c>
      <c r="AC286" s="83">
        <f t="shared" si="108"/>
        <v>21.057995529511267</v>
      </c>
      <c r="AD286" s="83">
        <f t="shared" si="108"/>
        <v>21.057995529511267</v>
      </c>
      <c r="AE286" s="83">
        <f t="shared" si="102"/>
        <v>21.127871368447092</v>
      </c>
      <c r="AF286" s="83"/>
      <c r="AH286" s="83">
        <f>+SUM(S286:AD286)*$AL$275*$AL$288*$AL$286</f>
        <v>58140.521546547447</v>
      </c>
      <c r="AI286" s="83">
        <f t="shared" si="114"/>
        <v>235222.59845345255</v>
      </c>
      <c r="AK286" s="131" t="s">
        <v>1065</v>
      </c>
      <c r="AL286" s="132">
        <v>6</v>
      </c>
      <c r="AN286" s="83">
        <f t="shared" ref="AN286:AY286" si="125">+S286*$AL$288*$AL$286</f>
        <v>1091.9999999999995</v>
      </c>
      <c r="AO286" s="83">
        <f t="shared" si="125"/>
        <v>1143.9999999999998</v>
      </c>
      <c r="AP286" s="83">
        <f t="shared" si="125"/>
        <v>1144</v>
      </c>
      <c r="AQ286" s="83">
        <f t="shared" si="125"/>
        <v>1144</v>
      </c>
      <c r="AR286" s="83">
        <f t="shared" si="125"/>
        <v>1144</v>
      </c>
      <c r="AS286" s="83">
        <f t="shared" si="125"/>
        <v>1105.0001121937328</v>
      </c>
      <c r="AT286" s="83">
        <f t="shared" si="125"/>
        <v>1040</v>
      </c>
      <c r="AU286" s="83">
        <f t="shared" si="125"/>
        <v>1042.8721595567483</v>
      </c>
      <c r="AV286" s="83">
        <f t="shared" si="125"/>
        <v>1042.8721595567483</v>
      </c>
      <c r="AW286" s="83">
        <f t="shared" si="125"/>
        <v>1095.0157675345858</v>
      </c>
      <c r="AX286" s="83">
        <f t="shared" si="125"/>
        <v>1095.0157675345858</v>
      </c>
      <c r="AY286" s="83">
        <f t="shared" si="125"/>
        <v>1095.0157675345858</v>
      </c>
      <c r="AZ286" s="83">
        <f t="shared" si="116"/>
        <v>1098.6493111592488</v>
      </c>
      <c r="BB286" s="101">
        <f t="shared" si="94"/>
        <v>293772.90999999997</v>
      </c>
      <c r="BC286" s="83"/>
      <c r="BD286" s="112">
        <f t="shared" si="103"/>
        <v>1164.1300000000001</v>
      </c>
      <c r="BE286" s="136">
        <f t="shared" si="104"/>
        <v>295147.06675380375</v>
      </c>
      <c r="BF286" s="137">
        <f t="shared" si="105"/>
        <v>1374.156753803778</v>
      </c>
      <c r="BG286" s="113">
        <f t="shared" si="106"/>
        <v>4.6776156242717484E-3</v>
      </c>
    </row>
    <row r="287" spans="1:59" s="62" customFormat="1" outlineLevel="1" x14ac:dyDescent="0.25">
      <c r="A287" s="62" t="str">
        <f t="shared" si="98"/>
        <v>MURREYSMULTI-FAMILYM6YD3W</v>
      </c>
      <c r="B287" s="81" t="s">
        <v>1066</v>
      </c>
      <c r="C287" s="81" t="s">
        <v>1067</v>
      </c>
      <c r="D287" s="82">
        <v>1723.77</v>
      </c>
      <c r="E287" s="82">
        <v>1738.06</v>
      </c>
      <c r="F287" s="83">
        <v>3447.54</v>
      </c>
      <c r="G287" s="83">
        <v>3447.54</v>
      </c>
      <c r="H287" s="83">
        <v>3476.12</v>
      </c>
      <c r="I287" s="83">
        <v>3476.12</v>
      </c>
      <c r="J287" s="83">
        <v>3476.12</v>
      </c>
      <c r="K287" s="83">
        <v>3910.64</v>
      </c>
      <c r="L287" s="83">
        <v>5214.18</v>
      </c>
      <c r="M287" s="83">
        <v>6167.08</v>
      </c>
      <c r="N287" s="83">
        <v>6971.48</v>
      </c>
      <c r="O287" s="83">
        <v>5228.6099999999997</v>
      </c>
      <c r="P287" s="83">
        <v>5228.6099999999997</v>
      </c>
      <c r="Q287" s="83">
        <v>5228.6099999999997</v>
      </c>
      <c r="R287" s="116">
        <f t="shared" si="99"/>
        <v>55272.649999999994</v>
      </c>
      <c r="S287" s="83">
        <f t="shared" si="107"/>
        <v>2</v>
      </c>
      <c r="T287" s="83">
        <f t="shared" si="107"/>
        <v>2</v>
      </c>
      <c r="U287" s="83">
        <f t="shared" si="108"/>
        <v>2</v>
      </c>
      <c r="V287" s="83">
        <f t="shared" si="108"/>
        <v>2</v>
      </c>
      <c r="W287" s="83">
        <f t="shared" si="108"/>
        <v>2</v>
      </c>
      <c r="X287" s="83">
        <f t="shared" si="108"/>
        <v>2.2500028767706524</v>
      </c>
      <c r="Y287" s="83">
        <f t="shared" si="108"/>
        <v>3.0000000000000004</v>
      </c>
      <c r="Z287" s="83">
        <f t="shared" si="108"/>
        <v>3.5482549509222929</v>
      </c>
      <c r="AA287" s="83">
        <f t="shared" si="108"/>
        <v>4.0110698134701908</v>
      </c>
      <c r="AB287" s="83">
        <f t="shared" si="108"/>
        <v>3.0083023601026433</v>
      </c>
      <c r="AC287" s="83">
        <f t="shared" si="108"/>
        <v>3.0083023601026433</v>
      </c>
      <c r="AD287" s="83">
        <f t="shared" si="108"/>
        <v>3.0083023601026433</v>
      </c>
      <c r="AE287" s="83">
        <f t="shared" si="102"/>
        <v>2.6528528934559223</v>
      </c>
      <c r="AF287" s="83"/>
      <c r="AH287" s="83">
        <f>+SUM(S287:AD287)*$AL$275*$AL$274*$AL$286</f>
        <v>10950.340059491617</v>
      </c>
      <c r="AI287" s="83">
        <f t="shared" si="114"/>
        <v>44322.309940508378</v>
      </c>
      <c r="AN287" s="83">
        <f t="shared" ref="AN287:AY287" si="126">S287*$AL$274*$AL$286</f>
        <v>156</v>
      </c>
      <c r="AO287" s="83">
        <f t="shared" si="126"/>
        <v>156</v>
      </c>
      <c r="AP287" s="83">
        <f t="shared" si="126"/>
        <v>156</v>
      </c>
      <c r="AQ287" s="83">
        <f t="shared" si="126"/>
        <v>156</v>
      </c>
      <c r="AR287" s="83">
        <f t="shared" si="126"/>
        <v>156</v>
      </c>
      <c r="AS287" s="83">
        <f t="shared" si="126"/>
        <v>175.50022438811089</v>
      </c>
      <c r="AT287" s="83">
        <f t="shared" si="126"/>
        <v>234.00000000000006</v>
      </c>
      <c r="AU287" s="83">
        <f t="shared" si="126"/>
        <v>276.76388617193885</v>
      </c>
      <c r="AV287" s="83">
        <f t="shared" si="126"/>
        <v>312.86344545067487</v>
      </c>
      <c r="AW287" s="83">
        <f t="shared" si="126"/>
        <v>234.6475840880062</v>
      </c>
      <c r="AX287" s="83">
        <f t="shared" si="126"/>
        <v>234.6475840880062</v>
      </c>
      <c r="AY287" s="83">
        <f t="shared" si="126"/>
        <v>234.6475840880062</v>
      </c>
      <c r="AZ287" s="83">
        <f t="shared" si="116"/>
        <v>206.92252568956192</v>
      </c>
      <c r="BB287" s="101">
        <f t="shared" si="94"/>
        <v>55329.81</v>
      </c>
      <c r="BC287" s="83"/>
      <c r="BD287" s="112">
        <f t="shared" si="103"/>
        <v>1746.19</v>
      </c>
      <c r="BE287" s="136">
        <f t="shared" si="104"/>
        <v>55588.622328285564</v>
      </c>
      <c r="BF287" s="137">
        <f t="shared" si="105"/>
        <v>258.81232828556676</v>
      </c>
      <c r="BG287" s="113">
        <f t="shared" si="106"/>
        <v>4.6776290806992971E-3</v>
      </c>
    </row>
    <row r="288" spans="1:59" s="62" customFormat="1" outlineLevel="1" x14ac:dyDescent="0.25">
      <c r="A288" s="62" t="str">
        <f t="shared" si="98"/>
        <v>MURREYSMULTI-FAMILYM1YDEX</v>
      </c>
      <c r="B288" s="81" t="s">
        <v>1068</v>
      </c>
      <c r="C288" s="81" t="s">
        <v>1069</v>
      </c>
      <c r="D288" s="82">
        <v>30.24</v>
      </c>
      <c r="E288" s="82">
        <v>30.47</v>
      </c>
      <c r="F288" s="83">
        <v>0</v>
      </c>
      <c r="G288" s="83">
        <v>120.96</v>
      </c>
      <c r="H288" s="83">
        <v>91.41</v>
      </c>
      <c r="I288" s="83">
        <v>30.47</v>
      </c>
      <c r="J288" s="83">
        <v>60.94</v>
      </c>
      <c r="K288" s="83">
        <v>152.35</v>
      </c>
      <c r="L288" s="83">
        <v>60.94</v>
      </c>
      <c r="M288" s="83">
        <v>30.55</v>
      </c>
      <c r="N288" s="83">
        <v>30.55</v>
      </c>
      <c r="O288" s="83">
        <v>0</v>
      </c>
      <c r="P288" s="83">
        <v>0</v>
      </c>
      <c r="Q288" s="83">
        <v>0</v>
      </c>
      <c r="R288" s="116">
        <f t="shared" si="99"/>
        <v>578.16999999999985</v>
      </c>
      <c r="S288" s="83">
        <f t="shared" si="107"/>
        <v>0</v>
      </c>
      <c r="T288" s="83">
        <f t="shared" si="107"/>
        <v>4</v>
      </c>
      <c r="U288" s="83">
        <f t="shared" si="108"/>
        <v>3</v>
      </c>
      <c r="V288" s="83">
        <f t="shared" si="108"/>
        <v>1</v>
      </c>
      <c r="W288" s="83">
        <f t="shared" si="108"/>
        <v>2</v>
      </c>
      <c r="X288" s="83">
        <f t="shared" si="108"/>
        <v>5</v>
      </c>
      <c r="Y288" s="83">
        <f t="shared" si="108"/>
        <v>2</v>
      </c>
      <c r="Z288" s="83">
        <f t="shared" si="108"/>
        <v>1.002625533311454</v>
      </c>
      <c r="AA288" s="83">
        <f t="shared" si="108"/>
        <v>1.002625533311454</v>
      </c>
      <c r="AB288" s="83">
        <f t="shared" si="108"/>
        <v>0</v>
      </c>
      <c r="AC288" s="83">
        <f t="shared" si="108"/>
        <v>0</v>
      </c>
      <c r="AD288" s="83">
        <f t="shared" si="108"/>
        <v>0</v>
      </c>
      <c r="AE288" s="83">
        <f t="shared" si="102"/>
        <v>1.5837709222185758</v>
      </c>
      <c r="AF288" s="83"/>
      <c r="AH288" s="83">
        <f>+SUM(S288:AD288)*$AL$275*$AL$282</f>
        <v>83.813157203807037</v>
      </c>
      <c r="AI288" s="83">
        <f>+SUM(F288:Q288)-AH288</f>
        <v>494.35684279619284</v>
      </c>
      <c r="AK288" s="123" t="s">
        <v>1070</v>
      </c>
      <c r="AL288" s="124">
        <f>+(52/12)*2</f>
        <v>8.6666666666666661</v>
      </c>
      <c r="AN288" s="83">
        <f t="shared" ref="AN288:AY288" si="127">+S288*$AL$282</f>
        <v>0</v>
      </c>
      <c r="AO288" s="83">
        <f t="shared" si="127"/>
        <v>4</v>
      </c>
      <c r="AP288" s="83">
        <f t="shared" si="127"/>
        <v>3</v>
      </c>
      <c r="AQ288" s="83">
        <f t="shared" si="127"/>
        <v>1</v>
      </c>
      <c r="AR288" s="83">
        <f t="shared" si="127"/>
        <v>2</v>
      </c>
      <c r="AS288" s="83">
        <f t="shared" si="127"/>
        <v>5</v>
      </c>
      <c r="AT288" s="83">
        <f t="shared" si="127"/>
        <v>2</v>
      </c>
      <c r="AU288" s="83">
        <f t="shared" si="127"/>
        <v>1.002625533311454</v>
      </c>
      <c r="AV288" s="83">
        <f t="shared" si="127"/>
        <v>1.002625533311454</v>
      </c>
      <c r="AW288" s="83">
        <f t="shared" si="127"/>
        <v>0</v>
      </c>
      <c r="AX288" s="83">
        <f t="shared" si="127"/>
        <v>0</v>
      </c>
      <c r="AY288" s="83">
        <f t="shared" si="127"/>
        <v>0</v>
      </c>
      <c r="AZ288" s="83">
        <f>+SUM(AN288:AY288)/$AB$2</f>
        <v>1.5837709222185758</v>
      </c>
      <c r="BB288" s="101">
        <f t="shared" ref="BB288:BB351" si="128">+AE288*E288*12</f>
        <v>579.09000000000015</v>
      </c>
      <c r="BC288" s="83"/>
      <c r="BD288" s="112">
        <f t="shared" si="103"/>
        <v>30.61</v>
      </c>
      <c r="BE288" s="136">
        <f t="shared" si="104"/>
        <v>581.75073514932728</v>
      </c>
      <c r="BF288" s="137">
        <f t="shared" si="105"/>
        <v>2.6607351493271381</v>
      </c>
      <c r="BG288" s="113">
        <f t="shared" si="106"/>
        <v>4.5946832950441857E-3</v>
      </c>
    </row>
    <row r="289" spans="1:59" s="62" customFormat="1" outlineLevel="1" x14ac:dyDescent="0.25">
      <c r="A289" s="62" t="str">
        <f t="shared" si="98"/>
        <v>MURREYSMULTI-FAMILYM1.5YDEX</v>
      </c>
      <c r="B289" s="81" t="s">
        <v>1071</v>
      </c>
      <c r="C289" s="81" t="s">
        <v>1072</v>
      </c>
      <c r="D289" s="82">
        <v>41.56</v>
      </c>
      <c r="E289" s="82">
        <v>41.89</v>
      </c>
      <c r="F289" s="83"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v>0</v>
      </c>
      <c r="L289" s="83">
        <v>0</v>
      </c>
      <c r="M289" s="83">
        <v>0</v>
      </c>
      <c r="N289" s="83">
        <v>0</v>
      </c>
      <c r="O289" s="83">
        <v>0</v>
      </c>
      <c r="P289" s="83">
        <v>0</v>
      </c>
      <c r="Q289" s="83">
        <v>0</v>
      </c>
      <c r="R289" s="116">
        <f t="shared" si="99"/>
        <v>0</v>
      </c>
      <c r="S289" s="83">
        <f t="shared" si="107"/>
        <v>0</v>
      </c>
      <c r="T289" s="83">
        <f t="shared" si="107"/>
        <v>0</v>
      </c>
      <c r="U289" s="83">
        <f t="shared" si="108"/>
        <v>0</v>
      </c>
      <c r="V289" s="83">
        <f t="shared" si="108"/>
        <v>0</v>
      </c>
      <c r="W289" s="83">
        <f t="shared" si="108"/>
        <v>0</v>
      </c>
      <c r="X289" s="83">
        <f t="shared" si="108"/>
        <v>0</v>
      </c>
      <c r="Y289" s="83">
        <f t="shared" si="108"/>
        <v>0</v>
      </c>
      <c r="Z289" s="83">
        <f t="shared" ref="U289:AD301" si="129">+IFERROR(M289/$E289,0)</f>
        <v>0</v>
      </c>
      <c r="AA289" s="83">
        <f t="shared" si="129"/>
        <v>0</v>
      </c>
      <c r="AB289" s="83">
        <f t="shared" si="129"/>
        <v>0</v>
      </c>
      <c r="AC289" s="83">
        <f t="shared" si="129"/>
        <v>0</v>
      </c>
      <c r="AD289" s="83">
        <f t="shared" si="129"/>
        <v>0</v>
      </c>
      <c r="AE289" s="83">
        <f t="shared" si="102"/>
        <v>0</v>
      </c>
      <c r="AF289" s="83"/>
      <c r="AH289" s="83">
        <f>+SUM(S289:AD289)*$AL$275*$AL$283</f>
        <v>0</v>
      </c>
      <c r="AI289" s="83">
        <f>+SUM(F289:Q289)-AH289</f>
        <v>0</v>
      </c>
      <c r="AK289" s="123" t="s">
        <v>1073</v>
      </c>
      <c r="AL289" s="124">
        <v>1</v>
      </c>
      <c r="AN289" s="83">
        <f>S289*$AL$283</f>
        <v>0</v>
      </c>
      <c r="AO289" s="83">
        <f t="shared" ref="AO289:AY289" si="130">T289*$AL$283</f>
        <v>0</v>
      </c>
      <c r="AP289" s="83">
        <f t="shared" si="130"/>
        <v>0</v>
      </c>
      <c r="AQ289" s="83">
        <f t="shared" si="130"/>
        <v>0</v>
      </c>
      <c r="AR289" s="83">
        <f t="shared" si="130"/>
        <v>0</v>
      </c>
      <c r="AS289" s="83">
        <f t="shared" si="130"/>
        <v>0</v>
      </c>
      <c r="AT289" s="83">
        <f t="shared" si="130"/>
        <v>0</v>
      </c>
      <c r="AU289" s="83">
        <f t="shared" si="130"/>
        <v>0</v>
      </c>
      <c r="AV289" s="83">
        <f t="shared" si="130"/>
        <v>0</v>
      </c>
      <c r="AW289" s="83">
        <f t="shared" si="130"/>
        <v>0</v>
      </c>
      <c r="AX289" s="83">
        <f t="shared" si="130"/>
        <v>0</v>
      </c>
      <c r="AY289" s="83">
        <f t="shared" si="130"/>
        <v>0</v>
      </c>
      <c r="AZ289" s="83">
        <f>+SUM(AN289:AY289)/$AB$2</f>
        <v>0</v>
      </c>
      <c r="BB289" s="101">
        <f t="shared" si="128"/>
        <v>0</v>
      </c>
      <c r="BC289" s="83"/>
      <c r="BD289" s="112">
        <f t="shared" si="103"/>
        <v>42.09</v>
      </c>
      <c r="BE289" s="136">
        <f t="shared" si="104"/>
        <v>0</v>
      </c>
      <c r="BF289" s="137">
        <f t="shared" si="105"/>
        <v>0</v>
      </c>
      <c r="BG289" s="113">
        <f t="shared" si="106"/>
        <v>0</v>
      </c>
    </row>
    <row r="290" spans="1:59" s="62" customFormat="1" outlineLevel="1" x14ac:dyDescent="0.25">
      <c r="A290" s="62" t="str">
        <f t="shared" si="98"/>
        <v>MURREYSMULTI-FAMILYM2YDEX</v>
      </c>
      <c r="B290" s="81" t="s">
        <v>1074</v>
      </c>
      <c r="C290" s="81" t="s">
        <v>1075</v>
      </c>
      <c r="D290" s="82">
        <v>51.86</v>
      </c>
      <c r="E290" s="82">
        <v>52.29</v>
      </c>
      <c r="F290" s="83">
        <v>1037.2</v>
      </c>
      <c r="G290" s="83">
        <v>518.6</v>
      </c>
      <c r="H290" s="83">
        <v>418.32</v>
      </c>
      <c r="I290" s="83">
        <v>52.29</v>
      </c>
      <c r="J290" s="83">
        <v>366.03</v>
      </c>
      <c r="K290" s="83">
        <v>156.87</v>
      </c>
      <c r="L290" s="83">
        <v>0</v>
      </c>
      <c r="M290" s="83">
        <v>0</v>
      </c>
      <c r="N290" s="83">
        <v>209.76</v>
      </c>
      <c r="O290" s="83">
        <v>0</v>
      </c>
      <c r="P290" s="83">
        <v>0</v>
      </c>
      <c r="Q290" s="83">
        <v>0</v>
      </c>
      <c r="R290" s="116">
        <f t="shared" si="99"/>
        <v>2759.0699999999997</v>
      </c>
      <c r="S290" s="83">
        <f t="shared" ref="S290:T301" si="131">+IFERROR(F290/$D290,0)</f>
        <v>20</v>
      </c>
      <c r="T290" s="83">
        <f t="shared" si="131"/>
        <v>10</v>
      </c>
      <c r="U290" s="83">
        <f t="shared" si="129"/>
        <v>8</v>
      </c>
      <c r="V290" s="83">
        <f t="shared" si="129"/>
        <v>1</v>
      </c>
      <c r="W290" s="83">
        <f t="shared" si="129"/>
        <v>7</v>
      </c>
      <c r="X290" s="83">
        <f t="shared" si="129"/>
        <v>3</v>
      </c>
      <c r="Y290" s="83">
        <f t="shared" si="129"/>
        <v>0</v>
      </c>
      <c r="Z290" s="83">
        <f t="shared" si="129"/>
        <v>0</v>
      </c>
      <c r="AA290" s="83">
        <f t="shared" si="129"/>
        <v>4.0114744693057949</v>
      </c>
      <c r="AB290" s="83">
        <f t="shared" si="129"/>
        <v>0</v>
      </c>
      <c r="AC290" s="83">
        <f t="shared" si="129"/>
        <v>0</v>
      </c>
      <c r="AD290" s="83">
        <f t="shared" si="129"/>
        <v>0</v>
      </c>
      <c r="AE290" s="83">
        <f t="shared" si="102"/>
        <v>4.4176228724421494</v>
      </c>
      <c r="AF290" s="83"/>
      <c r="AH290" s="83">
        <f>+SUM(S290:AD290)*$AL$275*$AL$284</f>
        <v>467.56120481927712</v>
      </c>
      <c r="AI290" s="83">
        <f>+SUM(F290:Q290)-AH290</f>
        <v>2291.5087951807227</v>
      </c>
      <c r="AK290" s="129" t="s">
        <v>1039</v>
      </c>
      <c r="AL290" s="130" t="s">
        <v>1076</v>
      </c>
      <c r="AN290" s="83">
        <f>+S290*$AL$284</f>
        <v>40</v>
      </c>
      <c r="AO290" s="83">
        <f t="shared" ref="AO290:AY290" si="132">+T290*$AL$284</f>
        <v>20</v>
      </c>
      <c r="AP290" s="83">
        <f t="shared" si="132"/>
        <v>16</v>
      </c>
      <c r="AQ290" s="83">
        <f t="shared" si="132"/>
        <v>2</v>
      </c>
      <c r="AR290" s="83">
        <f t="shared" si="132"/>
        <v>14</v>
      </c>
      <c r="AS290" s="83">
        <f t="shared" si="132"/>
        <v>6</v>
      </c>
      <c r="AT290" s="83">
        <f t="shared" si="132"/>
        <v>0</v>
      </c>
      <c r="AU290" s="83">
        <f t="shared" si="132"/>
        <v>0</v>
      </c>
      <c r="AV290" s="83">
        <f t="shared" si="132"/>
        <v>8.0229489386115898</v>
      </c>
      <c r="AW290" s="83">
        <f t="shared" si="132"/>
        <v>0</v>
      </c>
      <c r="AX290" s="83">
        <f t="shared" si="132"/>
        <v>0</v>
      </c>
      <c r="AY290" s="83">
        <f t="shared" si="132"/>
        <v>0</v>
      </c>
      <c r="AZ290" s="83">
        <f>+SUM(AN290:AY290)/$AB$2</f>
        <v>8.8352457448842987</v>
      </c>
      <c r="BB290" s="101">
        <f t="shared" si="128"/>
        <v>2771.97</v>
      </c>
      <c r="BC290" s="83"/>
      <c r="BD290" s="112">
        <f t="shared" si="103"/>
        <v>52.53</v>
      </c>
      <c r="BE290" s="136">
        <f t="shared" si="104"/>
        <v>2784.6927538726331</v>
      </c>
      <c r="BF290" s="137">
        <f t="shared" si="105"/>
        <v>12.722753872633348</v>
      </c>
      <c r="BG290" s="113">
        <f t="shared" si="106"/>
        <v>4.5897877223178276E-3</v>
      </c>
    </row>
    <row r="291" spans="1:59" s="62" customFormat="1" outlineLevel="1" x14ac:dyDescent="0.25">
      <c r="A291" s="62" t="str">
        <f t="shared" si="98"/>
        <v>MURREYSMULTI-FAMILYM4YDEX</v>
      </c>
      <c r="B291" s="81" t="s">
        <v>1077</v>
      </c>
      <c r="C291" s="81" t="s">
        <v>1078</v>
      </c>
      <c r="D291" s="82">
        <v>96.64</v>
      </c>
      <c r="E291" s="82">
        <v>97.45</v>
      </c>
      <c r="F291" s="83">
        <v>0</v>
      </c>
      <c r="G291" s="83">
        <v>0</v>
      </c>
      <c r="H291" s="83">
        <v>0</v>
      </c>
      <c r="I291" s="83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  <c r="Q291" s="83">
        <v>0</v>
      </c>
      <c r="R291" s="116">
        <f t="shared" si="99"/>
        <v>0</v>
      </c>
      <c r="S291" s="83">
        <f t="shared" si="131"/>
        <v>0</v>
      </c>
      <c r="T291" s="83">
        <f t="shared" si="131"/>
        <v>0</v>
      </c>
      <c r="U291" s="83">
        <f t="shared" si="129"/>
        <v>0</v>
      </c>
      <c r="V291" s="83">
        <f t="shared" si="129"/>
        <v>0</v>
      </c>
      <c r="W291" s="83">
        <f t="shared" si="129"/>
        <v>0</v>
      </c>
      <c r="X291" s="83">
        <f t="shared" si="129"/>
        <v>0</v>
      </c>
      <c r="Y291" s="83">
        <f t="shared" si="129"/>
        <v>0</v>
      </c>
      <c r="Z291" s="83">
        <f t="shared" si="129"/>
        <v>0</v>
      </c>
      <c r="AA291" s="83">
        <f t="shared" si="129"/>
        <v>0</v>
      </c>
      <c r="AB291" s="83">
        <f t="shared" si="129"/>
        <v>0</v>
      </c>
      <c r="AC291" s="83">
        <f t="shared" si="129"/>
        <v>0</v>
      </c>
      <c r="AD291" s="83">
        <f t="shared" si="129"/>
        <v>0</v>
      </c>
      <c r="AE291" s="83">
        <f t="shared" si="102"/>
        <v>0</v>
      </c>
      <c r="AF291" s="83"/>
      <c r="AH291" s="83">
        <f>+SUM(S291:AD291)*$AL$275*$AL$285</f>
        <v>0</v>
      </c>
      <c r="AI291" s="83">
        <f>+SUM(F291:Q291)-AH291</f>
        <v>0</v>
      </c>
      <c r="AK291" s="123" t="s">
        <v>1079</v>
      </c>
      <c r="AL291" s="124">
        <v>3</v>
      </c>
      <c r="AN291" s="83">
        <f>S291*$AL$285</f>
        <v>0</v>
      </c>
      <c r="AO291" s="83">
        <f t="shared" ref="AO291:AY291" si="133">T291*$AL$285</f>
        <v>0</v>
      </c>
      <c r="AP291" s="83">
        <f t="shared" si="133"/>
        <v>0</v>
      </c>
      <c r="AQ291" s="83">
        <f t="shared" si="133"/>
        <v>0</v>
      </c>
      <c r="AR291" s="83">
        <f t="shared" si="133"/>
        <v>0</v>
      </c>
      <c r="AS291" s="83">
        <f t="shared" si="133"/>
        <v>0</v>
      </c>
      <c r="AT291" s="83">
        <f t="shared" si="133"/>
        <v>0</v>
      </c>
      <c r="AU291" s="83">
        <f t="shared" si="133"/>
        <v>0</v>
      </c>
      <c r="AV291" s="83">
        <f t="shared" si="133"/>
        <v>0</v>
      </c>
      <c r="AW291" s="83">
        <f t="shared" si="133"/>
        <v>0</v>
      </c>
      <c r="AX291" s="83">
        <f t="shared" si="133"/>
        <v>0</v>
      </c>
      <c r="AY291" s="83">
        <f t="shared" si="133"/>
        <v>0</v>
      </c>
      <c r="AZ291" s="83">
        <f>+SUM(AN291:AY291)/$AB$2</f>
        <v>0</v>
      </c>
      <c r="BB291" s="101">
        <f t="shared" si="128"/>
        <v>0</v>
      </c>
      <c r="BC291" s="83"/>
      <c r="BD291" s="112">
        <f t="shared" si="103"/>
        <v>97.91</v>
      </c>
      <c r="BE291" s="136">
        <f t="shared" si="104"/>
        <v>0</v>
      </c>
      <c r="BF291" s="137">
        <f t="shared" si="105"/>
        <v>0</v>
      </c>
      <c r="BG291" s="113">
        <f t="shared" si="106"/>
        <v>0</v>
      </c>
    </row>
    <row r="292" spans="1:59" s="62" customFormat="1" outlineLevel="1" x14ac:dyDescent="0.25">
      <c r="A292" s="62" t="str">
        <f t="shared" si="98"/>
        <v>MURREYSMULTI-FAMILYM6YDEX</v>
      </c>
      <c r="B292" s="81" t="s">
        <v>1080</v>
      </c>
      <c r="C292" s="81" t="s">
        <v>1081</v>
      </c>
      <c r="D292" s="82">
        <v>134.88</v>
      </c>
      <c r="E292" s="82">
        <v>135.97999999999999</v>
      </c>
      <c r="F292" s="83">
        <v>134.88</v>
      </c>
      <c r="G292" s="83">
        <v>0</v>
      </c>
      <c r="H292" s="83">
        <v>135.97999999999999</v>
      </c>
      <c r="I292" s="83">
        <v>543.91999999999996</v>
      </c>
      <c r="J292" s="83">
        <v>407.93999999999994</v>
      </c>
      <c r="K292" s="83">
        <v>271.95999999999998</v>
      </c>
      <c r="L292" s="83">
        <v>543.91999999999996</v>
      </c>
      <c r="M292" s="83">
        <v>545.44000000000005</v>
      </c>
      <c r="N292" s="83">
        <v>272.72000000000003</v>
      </c>
      <c r="O292" s="83">
        <v>681.8</v>
      </c>
      <c r="P292" s="83">
        <v>0</v>
      </c>
      <c r="Q292" s="83">
        <v>0</v>
      </c>
      <c r="R292" s="116">
        <f t="shared" si="99"/>
        <v>3538.5600000000004</v>
      </c>
      <c r="S292" s="83">
        <f t="shared" si="131"/>
        <v>1</v>
      </c>
      <c r="T292" s="83">
        <f t="shared" si="131"/>
        <v>0</v>
      </c>
      <c r="U292" s="83">
        <f t="shared" si="129"/>
        <v>1</v>
      </c>
      <c r="V292" s="83">
        <f t="shared" si="129"/>
        <v>4</v>
      </c>
      <c r="W292" s="83">
        <f t="shared" si="129"/>
        <v>3</v>
      </c>
      <c r="X292" s="83">
        <f t="shared" si="129"/>
        <v>2</v>
      </c>
      <c r="Y292" s="83">
        <f t="shared" si="129"/>
        <v>4</v>
      </c>
      <c r="Z292" s="83">
        <f t="shared" si="129"/>
        <v>4.011178114428593</v>
      </c>
      <c r="AA292" s="83">
        <f t="shared" si="129"/>
        <v>2.0055890572142965</v>
      </c>
      <c r="AB292" s="83">
        <f t="shared" si="129"/>
        <v>5.013972643035741</v>
      </c>
      <c r="AC292" s="83">
        <f t="shared" si="129"/>
        <v>0</v>
      </c>
      <c r="AD292" s="83">
        <f t="shared" si="129"/>
        <v>0</v>
      </c>
      <c r="AE292" s="83">
        <f t="shared" si="102"/>
        <v>2.1692283178898859</v>
      </c>
      <c r="AF292" s="83"/>
      <c r="AH292" s="83">
        <f>+SUM(S292:AD292)*$AL$275*$AL$286</f>
        <v>688.77337549639662</v>
      </c>
      <c r="AI292" s="83">
        <f>+SUM(F292:Q292)-AH292</f>
        <v>2849.7866245036039</v>
      </c>
      <c r="AN292" s="83">
        <f t="shared" ref="AN292:AY292" si="134">S292*$AL$286</f>
        <v>6</v>
      </c>
      <c r="AO292" s="83">
        <f t="shared" si="134"/>
        <v>0</v>
      </c>
      <c r="AP292" s="83">
        <f t="shared" si="134"/>
        <v>6</v>
      </c>
      <c r="AQ292" s="83">
        <f t="shared" si="134"/>
        <v>24</v>
      </c>
      <c r="AR292" s="83">
        <f t="shared" si="134"/>
        <v>18</v>
      </c>
      <c r="AS292" s="83">
        <f t="shared" si="134"/>
        <v>12</v>
      </c>
      <c r="AT292" s="83">
        <f t="shared" si="134"/>
        <v>24</v>
      </c>
      <c r="AU292" s="83">
        <f t="shared" si="134"/>
        <v>24.06706868657156</v>
      </c>
      <c r="AV292" s="83">
        <f t="shared" si="134"/>
        <v>12.03353434328578</v>
      </c>
      <c r="AW292" s="83">
        <f t="shared" si="134"/>
        <v>30.083835858214446</v>
      </c>
      <c r="AX292" s="83">
        <f t="shared" si="134"/>
        <v>0</v>
      </c>
      <c r="AY292" s="83">
        <f t="shared" si="134"/>
        <v>0</v>
      </c>
      <c r="AZ292" s="83">
        <f>+SUM(AN292:AY292)/$AB$2</f>
        <v>13.015369907339315</v>
      </c>
      <c r="BB292" s="101">
        <f t="shared" si="128"/>
        <v>3539.66</v>
      </c>
      <c r="BC292" s="83"/>
      <c r="BD292" s="112">
        <f t="shared" si="103"/>
        <v>136.62</v>
      </c>
      <c r="BE292" s="136">
        <f t="shared" si="104"/>
        <v>3556.3196734813946</v>
      </c>
      <c r="BF292" s="137">
        <f t="shared" si="105"/>
        <v>16.659673481394748</v>
      </c>
      <c r="BG292" s="113">
        <f t="shared" si="106"/>
        <v>4.706574496249569E-3</v>
      </c>
    </row>
    <row r="293" spans="1:59" s="62" customFormat="1" outlineLevel="1" x14ac:dyDescent="0.25">
      <c r="A293" s="62" t="str">
        <f t="shared" si="98"/>
        <v>MURREYSMULTI-FAMILYMIMPCN</v>
      </c>
      <c r="B293" s="81" t="s">
        <v>1082</v>
      </c>
      <c r="C293" s="81" t="s">
        <v>1083</v>
      </c>
      <c r="D293" s="82">
        <v>0</v>
      </c>
      <c r="E293" s="82">
        <v>0</v>
      </c>
      <c r="F293" s="83">
        <v>0</v>
      </c>
      <c r="G293" s="83">
        <v>0</v>
      </c>
      <c r="H293" s="83">
        <v>0</v>
      </c>
      <c r="I293" s="83">
        <v>0</v>
      </c>
      <c r="J293" s="83">
        <v>0</v>
      </c>
      <c r="K293" s="83">
        <v>0</v>
      </c>
      <c r="L293" s="83">
        <v>0</v>
      </c>
      <c r="M293" s="83">
        <v>0</v>
      </c>
      <c r="N293" s="83">
        <v>0</v>
      </c>
      <c r="O293" s="83">
        <v>0</v>
      </c>
      <c r="P293" s="83">
        <v>0</v>
      </c>
      <c r="Q293" s="83">
        <v>0</v>
      </c>
      <c r="R293" s="116">
        <f t="shared" si="99"/>
        <v>0</v>
      </c>
      <c r="S293" s="83">
        <f t="shared" si="131"/>
        <v>0</v>
      </c>
      <c r="T293" s="83">
        <f t="shared" si="131"/>
        <v>0</v>
      </c>
      <c r="U293" s="83">
        <f t="shared" si="129"/>
        <v>0</v>
      </c>
      <c r="V293" s="83">
        <f t="shared" si="129"/>
        <v>0</v>
      </c>
      <c r="W293" s="83">
        <f t="shared" si="129"/>
        <v>0</v>
      </c>
      <c r="X293" s="83">
        <f t="shared" si="129"/>
        <v>0</v>
      </c>
      <c r="Y293" s="83">
        <f t="shared" si="129"/>
        <v>0</v>
      </c>
      <c r="Z293" s="83">
        <f t="shared" si="129"/>
        <v>0</v>
      </c>
      <c r="AA293" s="83">
        <f t="shared" si="129"/>
        <v>0</v>
      </c>
      <c r="AB293" s="83">
        <f t="shared" si="129"/>
        <v>0</v>
      </c>
      <c r="AC293" s="83">
        <f t="shared" si="129"/>
        <v>0</v>
      </c>
      <c r="AD293" s="83">
        <f t="shared" si="129"/>
        <v>0</v>
      </c>
      <c r="AE293" s="83">
        <f t="shared" si="102"/>
        <v>0</v>
      </c>
      <c r="AF293" s="83"/>
      <c r="AH293" s="83"/>
      <c r="AI293" s="83"/>
      <c r="BB293" s="101">
        <f t="shared" si="128"/>
        <v>0</v>
      </c>
      <c r="BD293" s="112">
        <f t="shared" si="103"/>
        <v>0</v>
      </c>
      <c r="BE293" s="136">
        <f t="shared" si="104"/>
        <v>0</v>
      </c>
      <c r="BF293" s="137">
        <f t="shared" si="105"/>
        <v>0</v>
      </c>
      <c r="BG293" s="113">
        <f t="shared" si="106"/>
        <v>0</v>
      </c>
    </row>
    <row r="294" spans="1:59" s="62" customFormat="1" outlineLevel="1" x14ac:dyDescent="0.25">
      <c r="A294" s="62" t="str">
        <f t="shared" si="98"/>
        <v>MURREYSMULTI-FAMILYMCONNECT</v>
      </c>
      <c r="B294" s="81" t="s">
        <v>1084</v>
      </c>
      <c r="C294" s="81" t="s">
        <v>1085</v>
      </c>
      <c r="D294" s="82">
        <v>0</v>
      </c>
      <c r="E294" s="82">
        <v>0</v>
      </c>
      <c r="F294" s="83">
        <v>0</v>
      </c>
      <c r="G294" s="83">
        <v>0</v>
      </c>
      <c r="H294" s="83">
        <v>0</v>
      </c>
      <c r="I294" s="83">
        <v>0</v>
      </c>
      <c r="J294" s="83">
        <v>0</v>
      </c>
      <c r="K294" s="83">
        <v>0</v>
      </c>
      <c r="L294" s="83">
        <v>0</v>
      </c>
      <c r="M294" s="83">
        <v>0</v>
      </c>
      <c r="N294" s="83">
        <v>0</v>
      </c>
      <c r="O294" s="83">
        <v>0</v>
      </c>
      <c r="P294" s="83">
        <v>0</v>
      </c>
      <c r="Q294" s="83">
        <v>0</v>
      </c>
      <c r="R294" s="116">
        <f t="shared" si="99"/>
        <v>0</v>
      </c>
      <c r="S294" s="83">
        <f t="shared" si="131"/>
        <v>0</v>
      </c>
      <c r="T294" s="83">
        <f t="shared" si="131"/>
        <v>0</v>
      </c>
      <c r="U294" s="83">
        <f t="shared" si="129"/>
        <v>0</v>
      </c>
      <c r="V294" s="83">
        <f t="shared" si="129"/>
        <v>0</v>
      </c>
      <c r="W294" s="83">
        <f t="shared" si="129"/>
        <v>0</v>
      </c>
      <c r="X294" s="83">
        <f t="shared" si="129"/>
        <v>0</v>
      </c>
      <c r="Y294" s="83">
        <f t="shared" si="129"/>
        <v>0</v>
      </c>
      <c r="Z294" s="83">
        <f t="shared" si="129"/>
        <v>0</v>
      </c>
      <c r="AA294" s="83">
        <f t="shared" si="129"/>
        <v>0</v>
      </c>
      <c r="AB294" s="83">
        <f t="shared" si="129"/>
        <v>0</v>
      </c>
      <c r="AC294" s="83">
        <f t="shared" si="129"/>
        <v>0</v>
      </c>
      <c r="AD294" s="83">
        <f t="shared" si="129"/>
        <v>0</v>
      </c>
      <c r="AE294" s="83">
        <f t="shared" si="102"/>
        <v>0</v>
      </c>
      <c r="AF294" s="83"/>
      <c r="AH294" s="83"/>
      <c r="AI294" s="83"/>
      <c r="BB294" s="101">
        <f t="shared" si="128"/>
        <v>0</v>
      </c>
      <c r="BD294" s="112">
        <f t="shared" si="103"/>
        <v>0</v>
      </c>
      <c r="BE294" s="136">
        <f t="shared" si="104"/>
        <v>0</v>
      </c>
      <c r="BF294" s="137">
        <f t="shared" si="105"/>
        <v>0</v>
      </c>
      <c r="BG294" s="113">
        <f t="shared" si="106"/>
        <v>0</v>
      </c>
    </row>
    <row r="295" spans="1:59" s="62" customFormat="1" outlineLevel="1" x14ac:dyDescent="0.25">
      <c r="A295" s="62" t="str">
        <f t="shared" si="98"/>
        <v>MURREYSMULTI-FAMILYMRENT90</v>
      </c>
      <c r="B295" s="81" t="s">
        <v>1086</v>
      </c>
      <c r="C295" s="81" t="s">
        <v>1087</v>
      </c>
      <c r="D295" s="82">
        <v>4.42</v>
      </c>
      <c r="E295" s="82">
        <v>4.42</v>
      </c>
      <c r="F295" s="83">
        <v>251.94</v>
      </c>
      <c r="G295" s="83">
        <v>251.94</v>
      </c>
      <c r="H295" s="83">
        <v>251.94</v>
      </c>
      <c r="I295" s="83">
        <v>251.94</v>
      </c>
      <c r="J295" s="83">
        <v>251.94</v>
      </c>
      <c r="K295" s="83">
        <v>251.94</v>
      </c>
      <c r="L295" s="83">
        <v>251.94</v>
      </c>
      <c r="M295" s="83">
        <v>251.94</v>
      </c>
      <c r="N295" s="83">
        <v>251.94</v>
      </c>
      <c r="O295" s="83">
        <v>251.94</v>
      </c>
      <c r="P295" s="83">
        <v>251.94</v>
      </c>
      <c r="Q295" s="83">
        <v>141.44</v>
      </c>
      <c r="R295" s="116">
        <f t="shared" si="99"/>
        <v>2912.78</v>
      </c>
      <c r="S295" s="83">
        <f t="shared" si="131"/>
        <v>57</v>
      </c>
      <c r="T295" s="83">
        <f t="shared" si="131"/>
        <v>57</v>
      </c>
      <c r="U295" s="83">
        <f t="shared" si="129"/>
        <v>57</v>
      </c>
      <c r="V295" s="83">
        <f t="shared" si="129"/>
        <v>57</v>
      </c>
      <c r="W295" s="83">
        <f t="shared" si="129"/>
        <v>57</v>
      </c>
      <c r="X295" s="83">
        <f t="shared" si="129"/>
        <v>57</v>
      </c>
      <c r="Y295" s="83">
        <f t="shared" si="129"/>
        <v>57</v>
      </c>
      <c r="Z295" s="83">
        <f t="shared" si="129"/>
        <v>57</v>
      </c>
      <c r="AA295" s="83">
        <f t="shared" si="129"/>
        <v>57</v>
      </c>
      <c r="AB295" s="83">
        <f t="shared" si="129"/>
        <v>57</v>
      </c>
      <c r="AC295" s="83">
        <f t="shared" si="129"/>
        <v>57</v>
      </c>
      <c r="AD295" s="83">
        <f t="shared" si="129"/>
        <v>32</v>
      </c>
      <c r="AE295" s="83">
        <f t="shared" si="102"/>
        <v>54.916666666666664</v>
      </c>
      <c r="AF295" s="83"/>
      <c r="AH295" s="83"/>
      <c r="AI295" s="83"/>
      <c r="BB295" s="101">
        <f t="shared" si="128"/>
        <v>2912.7799999999997</v>
      </c>
      <c r="BD295" s="112">
        <f t="shared" si="103"/>
        <v>4.4400000000000004</v>
      </c>
      <c r="BE295" s="136">
        <f t="shared" si="104"/>
        <v>2925.96</v>
      </c>
      <c r="BF295" s="137">
        <f t="shared" si="105"/>
        <v>13.180000000000291</v>
      </c>
      <c r="BG295" s="113">
        <f t="shared" si="106"/>
        <v>4.5248868778281544E-3</v>
      </c>
    </row>
    <row r="296" spans="1:59" s="62" customFormat="1" outlineLevel="1" x14ac:dyDescent="0.25">
      <c r="A296" s="62" t="str">
        <f t="shared" si="98"/>
        <v>MURREYSMULTI-FAMILYMROLL</v>
      </c>
      <c r="B296" s="81" t="s">
        <v>1088</v>
      </c>
      <c r="C296" s="81" t="s">
        <v>1089</v>
      </c>
      <c r="D296" s="82">
        <v>16.93</v>
      </c>
      <c r="E296" s="82">
        <v>16.93</v>
      </c>
      <c r="F296" s="83">
        <v>765.36</v>
      </c>
      <c r="G296" s="83">
        <v>765.36</v>
      </c>
      <c r="H296" s="83">
        <v>765.36</v>
      </c>
      <c r="I296" s="83">
        <v>765.36</v>
      </c>
      <c r="J296" s="83">
        <v>765.36</v>
      </c>
      <c r="K296" s="83">
        <v>765.36</v>
      </c>
      <c r="L296" s="83">
        <v>765.36</v>
      </c>
      <c r="M296" s="83">
        <v>767.08</v>
      </c>
      <c r="N296" s="83">
        <v>767.08</v>
      </c>
      <c r="O296" s="83">
        <v>767.08</v>
      </c>
      <c r="P296" s="83">
        <v>767.08</v>
      </c>
      <c r="Q296" s="83">
        <v>767.08</v>
      </c>
      <c r="R296" s="116">
        <f t="shared" si="99"/>
        <v>9192.92</v>
      </c>
      <c r="S296" s="83">
        <f t="shared" si="131"/>
        <v>45.207324276432367</v>
      </c>
      <c r="T296" s="83">
        <f t="shared" si="131"/>
        <v>45.207324276432367</v>
      </c>
      <c r="U296" s="83">
        <f t="shared" si="129"/>
        <v>45.207324276432367</v>
      </c>
      <c r="V296" s="83">
        <f t="shared" si="129"/>
        <v>45.207324276432367</v>
      </c>
      <c r="W296" s="83">
        <f t="shared" si="129"/>
        <v>45.207324276432367</v>
      </c>
      <c r="X296" s="83">
        <f t="shared" si="129"/>
        <v>45.207324276432367</v>
      </c>
      <c r="Y296" s="83">
        <f t="shared" si="129"/>
        <v>45.207324276432367</v>
      </c>
      <c r="Z296" s="83">
        <f t="shared" si="129"/>
        <v>45.308919078558773</v>
      </c>
      <c r="AA296" s="83">
        <f t="shared" si="129"/>
        <v>45.308919078558773</v>
      </c>
      <c r="AB296" s="83">
        <f t="shared" si="129"/>
        <v>45.308919078558773</v>
      </c>
      <c r="AC296" s="83">
        <f t="shared" si="129"/>
        <v>45.308919078558773</v>
      </c>
      <c r="AD296" s="83">
        <f t="shared" si="129"/>
        <v>45.308919078558773</v>
      </c>
      <c r="AE296" s="83">
        <f t="shared" si="102"/>
        <v>45.249655443985041</v>
      </c>
      <c r="AF296" s="83"/>
      <c r="AH296" s="83"/>
      <c r="AI296" s="83"/>
      <c r="BB296" s="101">
        <f t="shared" si="128"/>
        <v>9192.92</v>
      </c>
      <c r="BD296" s="112">
        <f t="shared" si="103"/>
        <v>17.010000000000002</v>
      </c>
      <c r="BE296" s="136">
        <f t="shared" si="104"/>
        <v>9236.3596692262272</v>
      </c>
      <c r="BF296" s="137">
        <f t="shared" si="105"/>
        <v>43.439669226227124</v>
      </c>
      <c r="BG296" s="113">
        <f t="shared" si="106"/>
        <v>4.7253396337863405E-3</v>
      </c>
    </row>
    <row r="297" spans="1:59" s="62" customFormat="1" outlineLevel="1" x14ac:dyDescent="0.25">
      <c r="A297" s="62" t="str">
        <f t="shared" si="98"/>
        <v>MURREYSMULTI-FAMILYPACKM</v>
      </c>
      <c r="B297" s="81" t="s">
        <v>1090</v>
      </c>
      <c r="C297" s="81" t="s">
        <v>1091</v>
      </c>
      <c r="D297" s="82">
        <v>5.39</v>
      </c>
      <c r="E297" s="82">
        <v>5.39</v>
      </c>
      <c r="F297" s="83">
        <v>42.69</v>
      </c>
      <c r="G297" s="83">
        <v>42.69</v>
      </c>
      <c r="H297" s="83">
        <v>42.69</v>
      </c>
      <c r="I297" s="83">
        <v>42.69</v>
      </c>
      <c r="J297" s="83">
        <v>48.08</v>
      </c>
      <c r="K297" s="83">
        <v>51.44</v>
      </c>
      <c r="L297" s="83">
        <v>54.72</v>
      </c>
      <c r="M297" s="83">
        <v>54.88</v>
      </c>
      <c r="N297" s="83">
        <v>54.88</v>
      </c>
      <c r="O297" s="83">
        <v>54.88</v>
      </c>
      <c r="P297" s="83">
        <v>49.47</v>
      </c>
      <c r="Q297" s="83">
        <v>54.88</v>
      </c>
      <c r="R297" s="116">
        <f t="shared" si="99"/>
        <v>593.99</v>
      </c>
      <c r="S297" s="83">
        <f t="shared" si="131"/>
        <v>7.9202226345083488</v>
      </c>
      <c r="T297" s="83">
        <f t="shared" si="131"/>
        <v>7.9202226345083488</v>
      </c>
      <c r="U297" s="83">
        <f t="shared" si="129"/>
        <v>7.9202226345083488</v>
      </c>
      <c r="V297" s="83">
        <f t="shared" si="129"/>
        <v>7.9202226345083488</v>
      </c>
      <c r="W297" s="83">
        <f t="shared" si="129"/>
        <v>8.9202226345083488</v>
      </c>
      <c r="X297" s="83">
        <f t="shared" si="129"/>
        <v>9.5435992578849724</v>
      </c>
      <c r="Y297" s="83">
        <f t="shared" si="129"/>
        <v>10.15213358070501</v>
      </c>
      <c r="Z297" s="83">
        <f t="shared" si="129"/>
        <v>10.181818181818183</v>
      </c>
      <c r="AA297" s="83">
        <f t="shared" si="129"/>
        <v>10.181818181818183</v>
      </c>
      <c r="AB297" s="83">
        <f t="shared" si="129"/>
        <v>10.181818181818183</v>
      </c>
      <c r="AC297" s="83">
        <f t="shared" si="129"/>
        <v>9.1781076066790348</v>
      </c>
      <c r="AD297" s="83">
        <f t="shared" si="129"/>
        <v>10.181818181818183</v>
      </c>
      <c r="AE297" s="83">
        <f t="shared" si="102"/>
        <v>9.1835188620902919</v>
      </c>
      <c r="AF297" s="83"/>
      <c r="AH297" s="83"/>
      <c r="AI297" s="83"/>
      <c r="BB297" s="101">
        <f t="shared" si="128"/>
        <v>593.99</v>
      </c>
      <c r="BD297" s="112">
        <f t="shared" si="103"/>
        <v>5.42</v>
      </c>
      <c r="BE297" s="136">
        <f t="shared" si="104"/>
        <v>597.2960667903526</v>
      </c>
      <c r="BF297" s="137">
        <f t="shared" si="105"/>
        <v>3.3060667903525882</v>
      </c>
      <c r="BG297" s="113">
        <f t="shared" si="106"/>
        <v>5.565862708719992E-3</v>
      </c>
    </row>
    <row r="298" spans="1:59" s="62" customFormat="1" outlineLevel="1" x14ac:dyDescent="0.25">
      <c r="A298" s="62" t="str">
        <f t="shared" si="98"/>
        <v>MURREYSMULTI-FAMILYADJMF</v>
      </c>
      <c r="B298" s="81" t="s">
        <v>1092</v>
      </c>
      <c r="C298" s="81" t="s">
        <v>1093</v>
      </c>
      <c r="D298" s="82">
        <v>0</v>
      </c>
      <c r="E298" s="82">
        <v>0</v>
      </c>
      <c r="F298" s="83">
        <v>0</v>
      </c>
      <c r="G298" s="83">
        <v>-4.47</v>
      </c>
      <c r="H298" s="83">
        <v>0</v>
      </c>
      <c r="I298" s="83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  <c r="Q298" s="83">
        <v>0</v>
      </c>
      <c r="R298" s="116">
        <f t="shared" si="99"/>
        <v>-4.47</v>
      </c>
      <c r="S298" s="83">
        <f t="shared" si="131"/>
        <v>0</v>
      </c>
      <c r="T298" s="83">
        <f t="shared" si="131"/>
        <v>0</v>
      </c>
      <c r="U298" s="83">
        <f t="shared" si="129"/>
        <v>0</v>
      </c>
      <c r="V298" s="83">
        <f t="shared" si="129"/>
        <v>0</v>
      </c>
      <c r="W298" s="83">
        <f t="shared" si="129"/>
        <v>0</v>
      </c>
      <c r="X298" s="83">
        <f t="shared" si="129"/>
        <v>0</v>
      </c>
      <c r="Y298" s="83">
        <f t="shared" si="129"/>
        <v>0</v>
      </c>
      <c r="Z298" s="83">
        <f t="shared" si="129"/>
        <v>0</v>
      </c>
      <c r="AA298" s="83">
        <f t="shared" si="129"/>
        <v>0</v>
      </c>
      <c r="AB298" s="83">
        <f t="shared" si="129"/>
        <v>0</v>
      </c>
      <c r="AC298" s="83">
        <f t="shared" si="129"/>
        <v>0</v>
      </c>
      <c r="AD298" s="83">
        <f t="shared" si="129"/>
        <v>0</v>
      </c>
      <c r="AE298" s="83">
        <f t="shared" si="102"/>
        <v>0</v>
      </c>
      <c r="AF298" s="83"/>
      <c r="AH298" s="83"/>
      <c r="AI298" s="83"/>
      <c r="BB298" s="101">
        <f t="shared" si="128"/>
        <v>0</v>
      </c>
      <c r="BD298" s="112">
        <f t="shared" si="103"/>
        <v>0</v>
      </c>
      <c r="BE298" s="136">
        <f t="shared" si="104"/>
        <v>0</v>
      </c>
      <c r="BF298" s="137">
        <f t="shared" si="105"/>
        <v>0</v>
      </c>
      <c r="BG298" s="113">
        <f t="shared" si="106"/>
        <v>0</v>
      </c>
    </row>
    <row r="299" spans="1:59" s="62" customFormat="1" outlineLevel="1" x14ac:dyDescent="0.25">
      <c r="A299" s="62" t="str">
        <f t="shared" si="98"/>
        <v>MURREYSMULTI-FAMILYDRVNM</v>
      </c>
      <c r="B299" s="81" t="s">
        <v>1094</v>
      </c>
      <c r="C299" s="81" t="s">
        <v>1095</v>
      </c>
      <c r="D299" s="82">
        <v>5.0199999999999996</v>
      </c>
      <c r="E299" s="82">
        <v>5.0199999999999996</v>
      </c>
      <c r="F299" s="83">
        <v>88.84</v>
      </c>
      <c r="G299" s="83">
        <v>88.84</v>
      </c>
      <c r="H299" s="83">
        <v>88.84</v>
      </c>
      <c r="I299" s="83">
        <v>88.84</v>
      </c>
      <c r="J299" s="83">
        <v>88.84</v>
      </c>
      <c r="K299" s="83">
        <v>88.84</v>
      </c>
      <c r="L299" s="83">
        <v>91.359999999999985</v>
      </c>
      <c r="M299" s="83">
        <v>98.88</v>
      </c>
      <c r="N299" s="83">
        <v>93.86</v>
      </c>
      <c r="O299" s="83">
        <v>81.5</v>
      </c>
      <c r="P299" s="83">
        <v>83.82</v>
      </c>
      <c r="Q299" s="83">
        <v>83.82</v>
      </c>
      <c r="R299" s="116">
        <f t="shared" si="99"/>
        <v>1066.28</v>
      </c>
      <c r="S299" s="83">
        <f t="shared" si="131"/>
        <v>17.69721115537849</v>
      </c>
      <c r="T299" s="83">
        <f t="shared" si="131"/>
        <v>17.69721115537849</v>
      </c>
      <c r="U299" s="83">
        <f t="shared" si="129"/>
        <v>17.69721115537849</v>
      </c>
      <c r="V299" s="83">
        <f t="shared" si="129"/>
        <v>17.69721115537849</v>
      </c>
      <c r="W299" s="83">
        <f t="shared" si="129"/>
        <v>17.69721115537849</v>
      </c>
      <c r="X299" s="83">
        <f t="shared" si="129"/>
        <v>17.69721115537849</v>
      </c>
      <c r="Y299" s="83">
        <f t="shared" si="129"/>
        <v>18.199203187250994</v>
      </c>
      <c r="Z299" s="83">
        <f t="shared" si="129"/>
        <v>19.697211155378486</v>
      </c>
      <c r="AA299" s="83">
        <f t="shared" si="129"/>
        <v>18.697211155378486</v>
      </c>
      <c r="AB299" s="83">
        <f t="shared" si="129"/>
        <v>16.235059760956176</v>
      </c>
      <c r="AC299" s="83">
        <f t="shared" si="129"/>
        <v>16.697211155378486</v>
      </c>
      <c r="AD299" s="83">
        <f t="shared" si="129"/>
        <v>16.697211155378486</v>
      </c>
      <c r="AE299" s="83">
        <f t="shared" si="102"/>
        <v>17.700531208499335</v>
      </c>
      <c r="AF299" s="83"/>
      <c r="AH299" s="83"/>
      <c r="AI299" s="83"/>
      <c r="BB299" s="101">
        <f t="shared" si="128"/>
        <v>1066.2799999999997</v>
      </c>
      <c r="BD299" s="112">
        <f t="shared" si="103"/>
        <v>5.04</v>
      </c>
      <c r="BE299" s="136">
        <f t="shared" si="104"/>
        <v>1070.5281274900397</v>
      </c>
      <c r="BF299" s="137">
        <f t="shared" si="105"/>
        <v>4.2481274900399058</v>
      </c>
      <c r="BG299" s="113">
        <f t="shared" si="106"/>
        <v>3.9840637450199827E-3</v>
      </c>
    </row>
    <row r="300" spans="1:59" s="62" customFormat="1" outlineLevel="1" x14ac:dyDescent="0.25">
      <c r="A300" s="62" t="str">
        <f t="shared" si="98"/>
        <v>MURREYSMULTI-FAMILYMUNLOCK</v>
      </c>
      <c r="B300" s="81" t="s">
        <v>1096</v>
      </c>
      <c r="C300" s="81" t="s">
        <v>1097</v>
      </c>
      <c r="D300" s="82">
        <v>4.72</v>
      </c>
      <c r="E300" s="82">
        <v>4.72</v>
      </c>
      <c r="F300" s="83">
        <v>36.58</v>
      </c>
      <c r="G300" s="83">
        <v>0</v>
      </c>
      <c r="H300" s="83">
        <v>0</v>
      </c>
      <c r="I300" s="83">
        <v>0</v>
      </c>
      <c r="J300" s="83">
        <v>0</v>
      </c>
      <c r="K300" s="83">
        <v>0</v>
      </c>
      <c r="L300" s="83">
        <v>0</v>
      </c>
      <c r="M300" s="83">
        <v>0</v>
      </c>
      <c r="N300" s="83">
        <v>0</v>
      </c>
      <c r="O300" s="83">
        <v>0</v>
      </c>
      <c r="P300" s="83">
        <v>0</v>
      </c>
      <c r="Q300" s="83">
        <v>0</v>
      </c>
      <c r="R300" s="116">
        <f t="shared" si="99"/>
        <v>36.58</v>
      </c>
      <c r="S300" s="83">
        <f t="shared" si="131"/>
        <v>7.75</v>
      </c>
      <c r="T300" s="83">
        <f t="shared" si="131"/>
        <v>0</v>
      </c>
      <c r="U300" s="83">
        <f t="shared" si="129"/>
        <v>0</v>
      </c>
      <c r="V300" s="83">
        <f t="shared" si="129"/>
        <v>0</v>
      </c>
      <c r="W300" s="83">
        <f t="shared" si="129"/>
        <v>0</v>
      </c>
      <c r="X300" s="83">
        <f t="shared" si="129"/>
        <v>0</v>
      </c>
      <c r="Y300" s="83">
        <f t="shared" si="129"/>
        <v>0</v>
      </c>
      <c r="Z300" s="83">
        <f t="shared" si="129"/>
        <v>0</v>
      </c>
      <c r="AA300" s="83">
        <f t="shared" si="129"/>
        <v>0</v>
      </c>
      <c r="AB300" s="83">
        <f t="shared" si="129"/>
        <v>0</v>
      </c>
      <c r="AC300" s="83">
        <f t="shared" si="129"/>
        <v>0</v>
      </c>
      <c r="AD300" s="83">
        <f t="shared" si="129"/>
        <v>0</v>
      </c>
      <c r="AE300" s="83">
        <f t="shared" si="102"/>
        <v>0.64583333333333337</v>
      </c>
      <c r="AF300" s="83"/>
      <c r="AH300" s="83"/>
      <c r="AI300" s="83"/>
      <c r="BB300" s="101">
        <f t="shared" si="128"/>
        <v>36.58</v>
      </c>
      <c r="BD300" s="112">
        <f t="shared" si="103"/>
        <v>4.74</v>
      </c>
      <c r="BE300" s="136">
        <f t="shared" si="104"/>
        <v>36.734999999999999</v>
      </c>
      <c r="BF300" s="137">
        <f t="shared" si="105"/>
        <v>0.15500000000000114</v>
      </c>
      <c r="BG300" s="113">
        <f t="shared" si="106"/>
        <v>4.2372881355932515E-3</v>
      </c>
    </row>
    <row r="301" spans="1:59" s="62" customFormat="1" outlineLevel="1" x14ac:dyDescent="0.25">
      <c r="A301" s="62" t="str">
        <f t="shared" si="98"/>
        <v>MURREYSMULTI-FAMILYEXTRA-MF</v>
      </c>
      <c r="B301" s="81" t="s">
        <v>1098</v>
      </c>
      <c r="C301" s="81" t="s">
        <v>1099</v>
      </c>
      <c r="D301" s="82">
        <v>4.7699999999999996</v>
      </c>
      <c r="E301" s="82">
        <v>4.8099999999999996</v>
      </c>
      <c r="F301" s="83">
        <v>1717.2</v>
      </c>
      <c r="G301" s="83">
        <v>992.16000000000008</v>
      </c>
      <c r="H301" s="83">
        <v>1620.09</v>
      </c>
      <c r="I301" s="83">
        <v>1635.4</v>
      </c>
      <c r="J301" s="83">
        <v>1899.95</v>
      </c>
      <c r="K301" s="83">
        <v>1563.25</v>
      </c>
      <c r="L301" s="83">
        <v>1192.8799999999999</v>
      </c>
      <c r="M301" s="83">
        <v>1137.5</v>
      </c>
      <c r="N301" s="83">
        <v>1277.3000000000002</v>
      </c>
      <c r="O301" s="83">
        <v>1262.8400000000001</v>
      </c>
      <c r="P301" s="83">
        <v>1754.48</v>
      </c>
      <c r="Q301" s="83">
        <v>1730.3799999999999</v>
      </c>
      <c r="R301" s="116">
        <f t="shared" si="99"/>
        <v>17783.43</v>
      </c>
      <c r="S301" s="83">
        <f t="shared" si="131"/>
        <v>360.00000000000006</v>
      </c>
      <c r="T301" s="83">
        <f t="shared" si="131"/>
        <v>208.00000000000003</v>
      </c>
      <c r="U301" s="83">
        <f t="shared" si="129"/>
        <v>336.81704781704781</v>
      </c>
      <c r="V301" s="83">
        <f t="shared" si="129"/>
        <v>340.00000000000006</v>
      </c>
      <c r="W301" s="83">
        <f t="shared" si="129"/>
        <v>395.00000000000006</v>
      </c>
      <c r="X301" s="83">
        <f t="shared" si="129"/>
        <v>325</v>
      </c>
      <c r="Y301" s="83">
        <f t="shared" si="129"/>
        <v>248</v>
      </c>
      <c r="Z301" s="83">
        <f t="shared" si="129"/>
        <v>236.48648648648651</v>
      </c>
      <c r="AA301" s="83">
        <f t="shared" si="129"/>
        <v>265.55093555093561</v>
      </c>
      <c r="AB301" s="83">
        <f t="shared" si="129"/>
        <v>262.54469854469858</v>
      </c>
      <c r="AC301" s="83">
        <f t="shared" si="129"/>
        <v>364.75675675675677</v>
      </c>
      <c r="AD301" s="83">
        <f t="shared" si="129"/>
        <v>359.74636174636174</v>
      </c>
      <c r="AE301" s="83">
        <f t="shared" si="102"/>
        <v>308.4918572418573</v>
      </c>
      <c r="AF301" s="83"/>
      <c r="AH301" s="83"/>
      <c r="AI301" s="83"/>
      <c r="BB301" s="101">
        <f t="shared" si="128"/>
        <v>17806.150000000001</v>
      </c>
      <c r="BD301" s="112">
        <f t="shared" si="103"/>
        <v>4.83</v>
      </c>
      <c r="BE301" s="136">
        <f t="shared" si="104"/>
        <v>17880.188045738047</v>
      </c>
      <c r="BF301" s="137">
        <f t="shared" si="105"/>
        <v>74.038045738045184</v>
      </c>
      <c r="BG301" s="113">
        <f t="shared" si="106"/>
        <v>4.1580041580041261E-3</v>
      </c>
    </row>
    <row r="302" spans="1:59" s="62" customFormat="1" outlineLevel="1" x14ac:dyDescent="0.25">
      <c r="B302" s="81"/>
      <c r="C302" s="81"/>
      <c r="D302" s="82"/>
      <c r="E302" s="82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H302" s="83"/>
      <c r="AI302" s="83"/>
      <c r="BB302" s="101"/>
    </row>
    <row r="303" spans="1:59" s="62" customFormat="1" outlineLevel="1" x14ac:dyDescent="0.25">
      <c r="B303" s="81"/>
      <c r="C303" s="85" t="s">
        <v>1100</v>
      </c>
      <c r="D303" s="82"/>
      <c r="E303" s="82"/>
      <c r="F303" s="86">
        <f t="shared" ref="F303:R303" si="135">SUM(F250:F302)</f>
        <v>200985.62999999998</v>
      </c>
      <c r="G303" s="86">
        <f t="shared" si="135"/>
        <v>198295.98</v>
      </c>
      <c r="H303" s="86">
        <f t="shared" si="135"/>
        <v>204564.11000000002</v>
      </c>
      <c r="I303" s="86">
        <f t="shared" si="135"/>
        <v>203195.94999999995</v>
      </c>
      <c r="J303" s="86">
        <f t="shared" si="135"/>
        <v>202906.28999999998</v>
      </c>
      <c r="K303" s="86">
        <f t="shared" si="135"/>
        <v>204564.69999999995</v>
      </c>
      <c r="L303" s="86">
        <f t="shared" si="135"/>
        <v>204800.70999999996</v>
      </c>
      <c r="M303" s="86">
        <f t="shared" si="135"/>
        <v>208012.07</v>
      </c>
      <c r="N303" s="86">
        <f t="shared" si="135"/>
        <v>210847.97</v>
      </c>
      <c r="O303" s="86">
        <f t="shared" si="135"/>
        <v>212120.26</v>
      </c>
      <c r="P303" s="86">
        <f t="shared" si="135"/>
        <v>212476.62000000002</v>
      </c>
      <c r="Q303" s="86">
        <f t="shared" si="135"/>
        <v>213625.08</v>
      </c>
      <c r="R303" s="86">
        <f t="shared" si="135"/>
        <v>2476395.3699999996</v>
      </c>
      <c r="S303" s="86">
        <f t="shared" ref="S303:AD303" si="136">+SUM(S250:S287)</f>
        <v>6114.9059622953228</v>
      </c>
      <c r="T303" s="86">
        <f t="shared" si="136"/>
        <v>5714.6167281434327</v>
      </c>
      <c r="U303" s="86">
        <f t="shared" si="136"/>
        <v>6303.148700655177</v>
      </c>
      <c r="V303" s="86">
        <f t="shared" si="136"/>
        <v>5988.6033321941186</v>
      </c>
      <c r="W303" s="86">
        <f t="shared" si="136"/>
        <v>5870.1910921042181</v>
      </c>
      <c r="X303" s="86">
        <f t="shared" si="136"/>
        <v>6592.5578521520229</v>
      </c>
      <c r="Y303" s="86">
        <f t="shared" si="136"/>
        <v>6303.8818796933047</v>
      </c>
      <c r="Z303" s="86">
        <f t="shared" si="136"/>
        <v>6441.3591787488276</v>
      </c>
      <c r="AA303" s="86">
        <f t="shared" si="136"/>
        <v>6690.0555764234468</v>
      </c>
      <c r="AB303" s="86">
        <f t="shared" si="136"/>
        <v>6571.2466831551683</v>
      </c>
      <c r="AC303" s="86">
        <f t="shared" si="136"/>
        <v>6476.6140845659193</v>
      </c>
      <c r="AD303" s="86">
        <f t="shared" si="136"/>
        <v>6282.3627787671721</v>
      </c>
      <c r="AE303" s="86">
        <f>+SUM(AE268:AE287,AE260:AE265,AF266:AF267)</f>
        <v>2889.345406302592</v>
      </c>
      <c r="AF303" s="87"/>
      <c r="AH303" s="83"/>
      <c r="AI303" s="83"/>
      <c r="BB303" s="118">
        <f>SUM(BB247:BB302)</f>
        <v>2479765.4958463581</v>
      </c>
      <c r="BE303" s="118">
        <f>SUM(BE248:BE302)</f>
        <v>2491237.7331907726</v>
      </c>
      <c r="BF303" s="118">
        <f>SUM(BF248:BF302)</f>
        <v>11472.23734441437</v>
      </c>
      <c r="BG303" s="113">
        <f t="shared" ref="BG303" si="137">IFERROR(+BF303/BB303,0)</f>
        <v>4.6263396130120076E-3</v>
      </c>
    </row>
    <row r="304" spans="1:59" s="62" customFormat="1" outlineLevel="1" x14ac:dyDescent="0.25">
      <c r="B304" s="81"/>
      <c r="C304" s="85"/>
      <c r="D304" s="82"/>
      <c r="E304" s="82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117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H304" s="83"/>
      <c r="AI304" s="83"/>
      <c r="BB304" s="101"/>
    </row>
    <row r="305" spans="1:59" s="62" customFormat="1" outlineLevel="1" x14ac:dyDescent="0.25">
      <c r="B305" s="88" t="s">
        <v>1101</v>
      </c>
      <c r="C305" s="85"/>
      <c r="D305" s="82"/>
      <c r="E305" s="82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117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H305" s="83"/>
      <c r="AI305" s="83"/>
      <c r="BB305" s="101"/>
    </row>
    <row r="306" spans="1:59" s="62" customFormat="1" outlineLevel="1" x14ac:dyDescent="0.25">
      <c r="A306" s="62" t="str">
        <f t="shared" ref="A306:A313" si="138">+$A$4&amp;$A$247&amp;B306</f>
        <v>MURREYSMULTI-FAMILYM2YDRECY</v>
      </c>
      <c r="B306" s="81" t="s">
        <v>1102</v>
      </c>
      <c r="C306" s="81" t="s">
        <v>1103</v>
      </c>
      <c r="D306" s="82">
        <v>12.13</v>
      </c>
      <c r="E306" s="82">
        <v>12.13</v>
      </c>
      <c r="F306" s="83">
        <v>2941.36</v>
      </c>
      <c r="G306" s="83">
        <v>2941.36</v>
      </c>
      <c r="H306" s="83">
        <v>2941.36</v>
      </c>
      <c r="I306" s="83">
        <v>2941.36</v>
      </c>
      <c r="J306" s="83">
        <v>2941.36</v>
      </c>
      <c r="K306" s="83">
        <v>2941.36</v>
      </c>
      <c r="L306" s="83">
        <v>2941.36</v>
      </c>
      <c r="M306" s="83">
        <v>2941.36</v>
      </c>
      <c r="N306" s="83">
        <v>2941.36</v>
      </c>
      <c r="O306" s="83">
        <v>2948.6400000000003</v>
      </c>
      <c r="P306" s="83">
        <v>2948.6400000000003</v>
      </c>
      <c r="Q306" s="83">
        <v>2422.8700000000003</v>
      </c>
      <c r="R306" s="116">
        <f t="shared" ref="R306:R313" si="139">+SUM(F306:Q306)</f>
        <v>34792.39</v>
      </c>
      <c r="S306" s="83">
        <f>+IFERROR(F306/$D306,0)</f>
        <v>242.48639736191259</v>
      </c>
      <c r="T306" s="83">
        <f t="shared" ref="T306:T313" si="140">+IFERROR(G306/$D306,0)</f>
        <v>242.48639736191259</v>
      </c>
      <c r="U306" s="83">
        <f t="shared" ref="U306:AD313" si="141">+IFERROR(H306/$E306,0)</f>
        <v>242.48639736191259</v>
      </c>
      <c r="V306" s="83">
        <f t="shared" si="141"/>
        <v>242.48639736191259</v>
      </c>
      <c r="W306" s="83">
        <f t="shared" si="141"/>
        <v>242.48639736191259</v>
      </c>
      <c r="X306" s="83">
        <f t="shared" si="141"/>
        <v>242.48639736191259</v>
      </c>
      <c r="Y306" s="83">
        <f t="shared" si="141"/>
        <v>242.48639736191259</v>
      </c>
      <c r="Z306" s="83">
        <f t="shared" si="141"/>
        <v>242.48639736191259</v>
      </c>
      <c r="AA306" s="83">
        <f t="shared" si="141"/>
        <v>242.48639736191259</v>
      </c>
      <c r="AB306" s="83">
        <f t="shared" si="141"/>
        <v>243.0865622423743</v>
      </c>
      <c r="AC306" s="83">
        <f t="shared" si="141"/>
        <v>243.0865622423743</v>
      </c>
      <c r="AD306" s="83">
        <f t="shared" si="141"/>
        <v>199.74196207749384</v>
      </c>
      <c r="AE306" s="83">
        <f>+SUM(S306:AD306)/$AB$2</f>
        <v>239.024388568288</v>
      </c>
      <c r="AF306" s="83"/>
      <c r="AH306" s="83">
        <f>+SUM(S306:AD306)*$AL$275*$AL$274*$AL$286</f>
        <v>986635.31015663664</v>
      </c>
      <c r="AI306" s="83"/>
      <c r="AK306" s="61"/>
      <c r="AL306" s="61"/>
      <c r="AN306" s="83">
        <f>+S306*$AL$284</f>
        <v>484.97279472382519</v>
      </c>
      <c r="AO306" s="83">
        <f t="shared" ref="AO306:AY306" si="142">+T306*$AL$284</f>
        <v>484.97279472382519</v>
      </c>
      <c r="AP306" s="83">
        <f t="shared" si="142"/>
        <v>484.97279472382519</v>
      </c>
      <c r="AQ306" s="83">
        <f t="shared" si="142"/>
        <v>484.97279472382519</v>
      </c>
      <c r="AR306" s="83">
        <f t="shared" si="142"/>
        <v>484.97279472382519</v>
      </c>
      <c r="AS306" s="83">
        <f t="shared" si="142"/>
        <v>484.97279472382519</v>
      </c>
      <c r="AT306" s="83">
        <f t="shared" si="142"/>
        <v>484.97279472382519</v>
      </c>
      <c r="AU306" s="83">
        <f t="shared" si="142"/>
        <v>484.97279472382519</v>
      </c>
      <c r="AV306" s="83">
        <f t="shared" si="142"/>
        <v>484.97279472382519</v>
      </c>
      <c r="AW306" s="83">
        <f t="shared" si="142"/>
        <v>486.1731244847486</v>
      </c>
      <c r="AX306" s="83">
        <f t="shared" si="142"/>
        <v>486.1731244847486</v>
      </c>
      <c r="AY306" s="83">
        <f t="shared" si="142"/>
        <v>399.48392415498768</v>
      </c>
      <c r="AZ306" s="83">
        <f t="shared" ref="AZ306:AZ307" si="143">+SUM(AN306:AY306)/$AB$2</f>
        <v>478.04877713657601</v>
      </c>
      <c r="BB306" s="101">
        <f t="shared" si="128"/>
        <v>34792.390000000007</v>
      </c>
      <c r="BC306" s="83"/>
      <c r="BD306" s="112">
        <f t="shared" ref="BD306:BD313" si="144">ROUND(E306*(1+$BF$4),2)</f>
        <v>12.19</v>
      </c>
      <c r="BE306" s="136">
        <f t="shared" ref="BE306:BE313" si="145">BD306*AE306*12</f>
        <v>34964.487559769172</v>
      </c>
      <c r="BF306" s="137">
        <f t="shared" ref="BF306:BF313" si="146">+BE306-BB306</f>
        <v>172.09755976916495</v>
      </c>
      <c r="BG306" s="113">
        <f t="shared" ref="BG306:BG313" si="147">IFERROR(+BF306/BB306,0)</f>
        <v>4.9464138499587095E-3</v>
      </c>
    </row>
    <row r="307" spans="1:59" s="62" customFormat="1" outlineLevel="1" x14ac:dyDescent="0.25">
      <c r="A307" s="62" t="str">
        <f t="shared" si="138"/>
        <v>MURREYSMULTI-FAMILYM6YDRECY</v>
      </c>
      <c r="B307" s="81" t="s">
        <v>1104</v>
      </c>
      <c r="C307" s="81" t="s">
        <v>1105</v>
      </c>
      <c r="D307" s="82">
        <v>37.840000000000003</v>
      </c>
      <c r="E307" s="82">
        <v>37.840000000000003</v>
      </c>
      <c r="F307" s="83">
        <v>9994.61</v>
      </c>
      <c r="G307" s="83">
        <v>9994.61</v>
      </c>
      <c r="H307" s="83">
        <v>10486.150000000001</v>
      </c>
      <c r="I307" s="83">
        <v>9994.61</v>
      </c>
      <c r="J307" s="83">
        <v>10322.299999999999</v>
      </c>
      <c r="K307" s="83">
        <v>10322.299999999999</v>
      </c>
      <c r="L307" s="83">
        <v>10322.299999999999</v>
      </c>
      <c r="M307" s="83">
        <v>10322.299999999999</v>
      </c>
      <c r="N307" s="83">
        <v>10486.15</v>
      </c>
      <c r="O307" s="83">
        <v>10681.05</v>
      </c>
      <c r="P307" s="83">
        <v>11009.7</v>
      </c>
      <c r="Q307" s="83">
        <v>11009.7</v>
      </c>
      <c r="R307" s="116">
        <f t="shared" si="139"/>
        <v>124945.78</v>
      </c>
      <c r="S307" s="83">
        <f t="shared" ref="S307:S313" si="148">+IFERROR(F307/$D307,0)</f>
        <v>264.12817124735727</v>
      </c>
      <c r="T307" s="83">
        <f t="shared" si="140"/>
        <v>264.12817124735727</v>
      </c>
      <c r="U307" s="83">
        <f t="shared" si="141"/>
        <v>277.11812896405922</v>
      </c>
      <c r="V307" s="83">
        <f t="shared" si="141"/>
        <v>264.12817124735727</v>
      </c>
      <c r="W307" s="83">
        <f t="shared" si="141"/>
        <v>272.7880549682875</v>
      </c>
      <c r="X307" s="83">
        <f t="shared" si="141"/>
        <v>272.7880549682875</v>
      </c>
      <c r="Y307" s="83">
        <f t="shared" si="141"/>
        <v>272.7880549682875</v>
      </c>
      <c r="Z307" s="83">
        <f t="shared" si="141"/>
        <v>272.7880549682875</v>
      </c>
      <c r="AA307" s="83">
        <f t="shared" si="141"/>
        <v>277.11812896405917</v>
      </c>
      <c r="AB307" s="83">
        <f t="shared" si="141"/>
        <v>282.26876321353063</v>
      </c>
      <c r="AC307" s="83">
        <f t="shared" si="141"/>
        <v>290.95401691331921</v>
      </c>
      <c r="AD307" s="83">
        <f t="shared" si="141"/>
        <v>290.95401691331921</v>
      </c>
      <c r="AE307" s="83">
        <f t="shared" ref="AE307:AE313" si="149">+SUM(S307:AD307)/$AB$2</f>
        <v>275.16248238195914</v>
      </c>
      <c r="AF307" s="83"/>
      <c r="AH307" s="83">
        <f>+SUM(S307:AD307)*$AL$275*$AL$286</f>
        <v>87369.591405919666</v>
      </c>
      <c r="AI307" s="83"/>
      <c r="AK307" s="61"/>
      <c r="AL307" s="61"/>
      <c r="AN307" s="83">
        <f>+S307*$AL$286</f>
        <v>1584.7690274841436</v>
      </c>
      <c r="AO307" s="83">
        <f t="shared" ref="AO307:AY307" si="150">+T307*$AL$286</f>
        <v>1584.7690274841436</v>
      </c>
      <c r="AP307" s="83">
        <f t="shared" si="150"/>
        <v>1662.7087737843553</v>
      </c>
      <c r="AQ307" s="83">
        <f t="shared" si="150"/>
        <v>1584.7690274841436</v>
      </c>
      <c r="AR307" s="83">
        <f t="shared" si="150"/>
        <v>1636.728329809725</v>
      </c>
      <c r="AS307" s="83">
        <f t="shared" si="150"/>
        <v>1636.728329809725</v>
      </c>
      <c r="AT307" s="83">
        <f t="shared" si="150"/>
        <v>1636.728329809725</v>
      </c>
      <c r="AU307" s="83">
        <f t="shared" si="150"/>
        <v>1636.728329809725</v>
      </c>
      <c r="AV307" s="83">
        <f t="shared" si="150"/>
        <v>1662.7087737843549</v>
      </c>
      <c r="AW307" s="83">
        <f t="shared" si="150"/>
        <v>1693.6125792811838</v>
      </c>
      <c r="AX307" s="83">
        <f t="shared" si="150"/>
        <v>1745.7241014799151</v>
      </c>
      <c r="AY307" s="83">
        <f t="shared" si="150"/>
        <v>1745.7241014799151</v>
      </c>
      <c r="AZ307" s="83">
        <f t="shared" si="143"/>
        <v>1650.9748942917543</v>
      </c>
      <c r="BB307" s="101">
        <f t="shared" si="128"/>
        <v>124945.78000000001</v>
      </c>
      <c r="BC307" s="83"/>
      <c r="BD307" s="112">
        <f t="shared" si="144"/>
        <v>38.020000000000003</v>
      </c>
      <c r="BE307" s="136">
        <f t="shared" si="145"/>
        <v>125540.13096194505</v>
      </c>
      <c r="BF307" s="137">
        <f t="shared" si="146"/>
        <v>594.35096194503421</v>
      </c>
      <c r="BG307" s="113">
        <f t="shared" si="147"/>
        <v>4.7568710359408226E-3</v>
      </c>
    </row>
    <row r="308" spans="1:59" s="62" customFormat="1" outlineLevel="1" x14ac:dyDescent="0.25">
      <c r="A308" s="62" t="str">
        <f t="shared" si="138"/>
        <v>MURREYSMULTI-FAMILYMCCRECYR</v>
      </c>
      <c r="B308" s="81" t="s">
        <v>1106</v>
      </c>
      <c r="C308" s="81" t="s">
        <v>1107</v>
      </c>
      <c r="D308" s="82">
        <v>7.45</v>
      </c>
      <c r="E308" s="82">
        <v>7.45</v>
      </c>
      <c r="F308" s="83">
        <v>7867.2</v>
      </c>
      <c r="G308" s="83">
        <v>7867.2</v>
      </c>
      <c r="H308" s="83">
        <v>7867.2</v>
      </c>
      <c r="I308" s="83">
        <v>7867.2</v>
      </c>
      <c r="J308" s="83">
        <v>7867.2</v>
      </c>
      <c r="K308" s="83">
        <v>7867.2</v>
      </c>
      <c r="L308" s="83">
        <v>7867.2</v>
      </c>
      <c r="M308" s="83">
        <v>7888.32</v>
      </c>
      <c r="N308" s="83">
        <v>7895.79</v>
      </c>
      <c r="O308" s="83">
        <v>7895.79</v>
      </c>
      <c r="P308" s="83">
        <v>7895.79</v>
      </c>
      <c r="Q308" s="83">
        <v>7895.79</v>
      </c>
      <c r="R308" s="116">
        <f t="shared" si="139"/>
        <v>94541.879999999976</v>
      </c>
      <c r="S308" s="83">
        <f t="shared" si="148"/>
        <v>1056</v>
      </c>
      <c r="T308" s="83">
        <f t="shared" si="140"/>
        <v>1056</v>
      </c>
      <c r="U308" s="83">
        <f t="shared" si="141"/>
        <v>1056</v>
      </c>
      <c r="V308" s="83">
        <f t="shared" si="141"/>
        <v>1056</v>
      </c>
      <c r="W308" s="83">
        <f t="shared" si="141"/>
        <v>1056</v>
      </c>
      <c r="X308" s="83">
        <f t="shared" si="141"/>
        <v>1056</v>
      </c>
      <c r="Y308" s="83">
        <f t="shared" si="141"/>
        <v>1056</v>
      </c>
      <c r="Z308" s="83">
        <f t="shared" si="141"/>
        <v>1058.8348993288589</v>
      </c>
      <c r="AA308" s="83">
        <f t="shared" si="141"/>
        <v>1059.8375838926174</v>
      </c>
      <c r="AB308" s="83">
        <f t="shared" si="141"/>
        <v>1059.8375838926174</v>
      </c>
      <c r="AC308" s="83">
        <f t="shared" si="141"/>
        <v>1059.8375838926174</v>
      </c>
      <c r="AD308" s="83">
        <f t="shared" si="141"/>
        <v>1059.8375838926174</v>
      </c>
      <c r="AE308" s="83">
        <f t="shared" si="149"/>
        <v>1057.5154362416104</v>
      </c>
      <c r="AF308" s="83"/>
      <c r="AH308" s="121">
        <f>SUM(AH269:AH307)</f>
        <v>1632288.4981950135</v>
      </c>
      <c r="AI308" s="83"/>
      <c r="AN308" s="121">
        <f>SUM(AN306:AN307)</f>
        <v>2069.7418222079687</v>
      </c>
      <c r="AO308" s="121">
        <f t="shared" ref="AO308:AZ308" si="151">SUM(AO306:AO307)</f>
        <v>2069.7418222079687</v>
      </c>
      <c r="AP308" s="121">
        <f t="shared" si="151"/>
        <v>2147.6815685081806</v>
      </c>
      <c r="AQ308" s="121">
        <f t="shared" si="151"/>
        <v>2069.7418222079687</v>
      </c>
      <c r="AR308" s="121">
        <f t="shared" si="151"/>
        <v>2121.7011245335502</v>
      </c>
      <c r="AS308" s="121">
        <f t="shared" si="151"/>
        <v>2121.7011245335502</v>
      </c>
      <c r="AT308" s="121">
        <f t="shared" si="151"/>
        <v>2121.7011245335502</v>
      </c>
      <c r="AU308" s="121">
        <f t="shared" si="151"/>
        <v>2121.7011245335502</v>
      </c>
      <c r="AV308" s="121">
        <f t="shared" si="151"/>
        <v>2147.6815685081801</v>
      </c>
      <c r="AW308" s="121">
        <f t="shared" si="151"/>
        <v>2179.7857037659323</v>
      </c>
      <c r="AX308" s="121">
        <f t="shared" si="151"/>
        <v>2231.8972259646639</v>
      </c>
      <c r="AY308" s="121">
        <f t="shared" si="151"/>
        <v>2145.2080256349027</v>
      </c>
      <c r="AZ308" s="121">
        <f t="shared" si="151"/>
        <v>2129.0236714283301</v>
      </c>
      <c r="BB308" s="101">
        <f t="shared" si="128"/>
        <v>94541.879999999961</v>
      </c>
      <c r="BC308" s="122"/>
      <c r="BD308" s="112">
        <f t="shared" si="144"/>
        <v>7.48</v>
      </c>
      <c r="BE308" s="136">
        <f t="shared" si="145"/>
        <v>94922.585557046943</v>
      </c>
      <c r="BF308" s="137">
        <f t="shared" si="146"/>
        <v>380.70555704698199</v>
      </c>
      <c r="BG308" s="113">
        <f t="shared" si="147"/>
        <v>4.0268456375839165E-3</v>
      </c>
    </row>
    <row r="309" spans="1:59" s="62" customFormat="1" outlineLevel="1" x14ac:dyDescent="0.25">
      <c r="A309" s="62" t="str">
        <f t="shared" si="138"/>
        <v>MURREYSMULTI-FAMILYMRECYONLY</v>
      </c>
      <c r="B309" s="81" t="s">
        <v>1108</v>
      </c>
      <c r="C309" s="81" t="s">
        <v>1109</v>
      </c>
      <c r="D309" s="82">
        <v>11.04</v>
      </c>
      <c r="E309" s="82">
        <v>11.04</v>
      </c>
      <c r="F309" s="83">
        <v>55.2</v>
      </c>
      <c r="G309" s="83">
        <v>55.2</v>
      </c>
      <c r="H309" s="83">
        <v>55.2</v>
      </c>
      <c r="I309" s="83">
        <v>55.2</v>
      </c>
      <c r="J309" s="83">
        <v>55.2</v>
      </c>
      <c r="K309" s="83">
        <v>55.2</v>
      </c>
      <c r="L309" s="83">
        <v>55.2</v>
      </c>
      <c r="M309" s="83">
        <v>55.35</v>
      </c>
      <c r="N309" s="83">
        <v>55.35</v>
      </c>
      <c r="O309" s="83">
        <v>55.35</v>
      </c>
      <c r="P309" s="83">
        <v>55.35</v>
      </c>
      <c r="Q309" s="83">
        <v>55.35</v>
      </c>
      <c r="R309" s="116">
        <f t="shared" si="139"/>
        <v>663.15000000000009</v>
      </c>
      <c r="S309" s="83">
        <f t="shared" si="148"/>
        <v>5.0000000000000009</v>
      </c>
      <c r="T309" s="83">
        <f t="shared" si="140"/>
        <v>5.0000000000000009</v>
      </c>
      <c r="U309" s="83">
        <f t="shared" si="141"/>
        <v>5.0000000000000009</v>
      </c>
      <c r="V309" s="83">
        <f t="shared" si="141"/>
        <v>5.0000000000000009</v>
      </c>
      <c r="W309" s="83">
        <f t="shared" si="141"/>
        <v>5.0000000000000009</v>
      </c>
      <c r="X309" s="83">
        <f t="shared" si="141"/>
        <v>5.0000000000000009</v>
      </c>
      <c r="Y309" s="83">
        <f t="shared" si="141"/>
        <v>5.0000000000000009</v>
      </c>
      <c r="Z309" s="83">
        <f t="shared" si="141"/>
        <v>5.0135869565217392</v>
      </c>
      <c r="AA309" s="83">
        <f t="shared" si="141"/>
        <v>5.0135869565217392</v>
      </c>
      <c r="AB309" s="83">
        <f t="shared" si="141"/>
        <v>5.0135869565217392</v>
      </c>
      <c r="AC309" s="83">
        <f t="shared" si="141"/>
        <v>5.0135869565217392</v>
      </c>
      <c r="AD309" s="83">
        <f t="shared" si="141"/>
        <v>5.0135869565217392</v>
      </c>
      <c r="AE309" s="83">
        <f t="shared" si="149"/>
        <v>5.0056612318840594</v>
      </c>
      <c r="AF309" s="83"/>
      <c r="AH309" s="83"/>
      <c r="AI309" s="83"/>
      <c r="AN309" s="93">
        <f t="shared" ref="AN309:AZ309" si="152">AN269+AN308</f>
        <v>7960.9925345822412</v>
      </c>
      <c r="AO309" s="93">
        <f t="shared" si="152"/>
        <v>7958.0252997055268</v>
      </c>
      <c r="AP309" s="93">
        <f t="shared" si="152"/>
        <v>8054.5079413103958</v>
      </c>
      <c r="AQ309" s="93">
        <f t="shared" si="152"/>
        <v>7966.2845887862704</v>
      </c>
      <c r="AR309" s="93">
        <f t="shared" si="152"/>
        <v>7997.7986445128681</v>
      </c>
      <c r="AS309" s="93">
        <f t="shared" si="152"/>
        <v>7946.4032036046174</v>
      </c>
      <c r="AT309" s="93">
        <f t="shared" si="152"/>
        <v>8007.4941285773984</v>
      </c>
      <c r="AU309" s="93">
        <f t="shared" si="152"/>
        <v>8072.0980693230122</v>
      </c>
      <c r="AV309" s="93">
        <f t="shared" si="152"/>
        <v>8144.9554978692413</v>
      </c>
      <c r="AW309" s="93">
        <f t="shared" si="152"/>
        <v>8240.3617365072569</v>
      </c>
      <c r="AX309" s="93">
        <f t="shared" si="152"/>
        <v>8277.7246326847726</v>
      </c>
      <c r="AY309" s="93">
        <f t="shared" si="152"/>
        <v>8265.4929599489769</v>
      </c>
      <c r="AZ309" s="93">
        <f t="shared" si="152"/>
        <v>8074.3449364510479</v>
      </c>
      <c r="BB309" s="101">
        <f t="shared" si="128"/>
        <v>663.15000000000009</v>
      </c>
      <c r="BC309" s="96"/>
      <c r="BD309" s="112">
        <f t="shared" si="144"/>
        <v>11.09</v>
      </c>
      <c r="BE309" s="136">
        <f t="shared" si="145"/>
        <v>666.15339673913059</v>
      </c>
      <c r="BF309" s="137">
        <f t="shared" si="146"/>
        <v>3.0033967391304941</v>
      </c>
      <c r="BG309" s="113">
        <f t="shared" si="147"/>
        <v>4.5289855072464654E-3</v>
      </c>
    </row>
    <row r="310" spans="1:59" s="62" customFormat="1" outlineLevel="1" x14ac:dyDescent="0.25">
      <c r="A310" s="62" t="str">
        <f t="shared" si="138"/>
        <v>MURREYSMULTI-FAMILYMRECYR</v>
      </c>
      <c r="B310" s="81" t="s">
        <v>1110</v>
      </c>
      <c r="C310" s="81" t="s">
        <v>1111</v>
      </c>
      <c r="D310" s="82">
        <v>7.36</v>
      </c>
      <c r="E310" s="82">
        <v>7.36</v>
      </c>
      <c r="F310" s="83">
        <v>7246.5000000000009</v>
      </c>
      <c r="G310" s="83">
        <v>7319.5199999999995</v>
      </c>
      <c r="H310" s="83">
        <v>7492.4800000000005</v>
      </c>
      <c r="I310" s="83">
        <v>7584.48</v>
      </c>
      <c r="J310" s="83">
        <v>7648.88</v>
      </c>
      <c r="K310" s="83">
        <v>7556.88</v>
      </c>
      <c r="L310" s="83">
        <v>7770.32</v>
      </c>
      <c r="M310" s="83">
        <v>7872.64</v>
      </c>
      <c r="N310" s="83">
        <v>7955.66</v>
      </c>
      <c r="O310" s="83">
        <v>8061.1100000000006</v>
      </c>
      <c r="P310" s="83">
        <v>8116.17</v>
      </c>
      <c r="Q310" s="83">
        <v>8213.9699999999993</v>
      </c>
      <c r="R310" s="116">
        <f t="shared" si="139"/>
        <v>92838.61</v>
      </c>
      <c r="S310" s="83">
        <f t="shared" si="148"/>
        <v>984.57880434782612</v>
      </c>
      <c r="T310" s="83">
        <f t="shared" si="140"/>
        <v>994.49999999999989</v>
      </c>
      <c r="U310" s="83">
        <f t="shared" si="141"/>
        <v>1018</v>
      </c>
      <c r="V310" s="83">
        <f t="shared" si="141"/>
        <v>1030.5</v>
      </c>
      <c r="W310" s="83">
        <f t="shared" si="141"/>
        <v>1039.25</v>
      </c>
      <c r="X310" s="83">
        <f t="shared" si="141"/>
        <v>1026.75</v>
      </c>
      <c r="Y310" s="83">
        <f t="shared" si="141"/>
        <v>1055.75</v>
      </c>
      <c r="Z310" s="83">
        <f t="shared" si="141"/>
        <v>1069.6521739130435</v>
      </c>
      <c r="AA310" s="83">
        <f t="shared" si="141"/>
        <v>1080.9320652173913</v>
      </c>
      <c r="AB310" s="83">
        <f t="shared" si="141"/>
        <v>1095.2595108695652</v>
      </c>
      <c r="AC310" s="83">
        <f t="shared" si="141"/>
        <v>1102.7404891304348</v>
      </c>
      <c r="AD310" s="83">
        <f t="shared" si="141"/>
        <v>1116.0285326086955</v>
      </c>
      <c r="AE310" s="83">
        <f t="shared" si="149"/>
        <v>1051.1617980072465</v>
      </c>
      <c r="AF310" s="83"/>
      <c r="AH310" s="83"/>
      <c r="AI310" s="83"/>
      <c r="BB310" s="101">
        <f t="shared" si="128"/>
        <v>92838.610000000015</v>
      </c>
      <c r="BD310" s="112">
        <f t="shared" si="144"/>
        <v>7.39</v>
      </c>
      <c r="BE310" s="136">
        <f t="shared" si="145"/>
        <v>93217.028247282607</v>
      </c>
      <c r="BF310" s="137">
        <f t="shared" si="146"/>
        <v>378.41824728259235</v>
      </c>
      <c r="BG310" s="113">
        <f t="shared" si="147"/>
        <v>4.0760869565215621E-3</v>
      </c>
    </row>
    <row r="311" spans="1:59" s="62" customFormat="1" outlineLevel="1" x14ac:dyDescent="0.25">
      <c r="A311" s="62" t="str">
        <f t="shared" si="138"/>
        <v>MURREYSMULTI-FAMILYMRECYIN</v>
      </c>
      <c r="B311" s="81" t="s">
        <v>1112</v>
      </c>
      <c r="C311" s="81" t="s">
        <v>1113</v>
      </c>
      <c r="D311" s="82">
        <v>0.75</v>
      </c>
      <c r="E311" s="82">
        <v>0.75</v>
      </c>
      <c r="F311" s="83">
        <v>298.7</v>
      </c>
      <c r="G311" s="83">
        <v>299.64</v>
      </c>
      <c r="H311" s="83">
        <v>281.44</v>
      </c>
      <c r="I311" s="83">
        <v>282</v>
      </c>
      <c r="J311" s="83">
        <v>280.69</v>
      </c>
      <c r="K311" s="83">
        <v>279.36</v>
      </c>
      <c r="L311" s="83">
        <v>275.63</v>
      </c>
      <c r="M311" s="83">
        <v>275.25</v>
      </c>
      <c r="N311" s="83">
        <v>274.5</v>
      </c>
      <c r="O311" s="83">
        <v>274.5</v>
      </c>
      <c r="P311" s="83">
        <v>274.5</v>
      </c>
      <c r="Q311" s="83">
        <v>274.5</v>
      </c>
      <c r="R311" s="116">
        <f>+SUM(F311:Q311)</f>
        <v>3370.71</v>
      </c>
      <c r="S311" s="83">
        <f>+IFERROR(F311/$D311,0)</f>
        <v>398.26666666666665</v>
      </c>
      <c r="T311" s="83">
        <f>+IFERROR(G311/$D311,0)</f>
        <v>399.52</v>
      </c>
      <c r="U311" s="83">
        <f t="shared" si="141"/>
        <v>375.25333333333333</v>
      </c>
      <c r="V311" s="83">
        <f t="shared" si="141"/>
        <v>376</v>
      </c>
      <c r="W311" s="83">
        <f t="shared" si="141"/>
        <v>374.25333333333333</v>
      </c>
      <c r="X311" s="83">
        <f t="shared" si="141"/>
        <v>372.48</v>
      </c>
      <c r="Y311" s="83">
        <f t="shared" si="141"/>
        <v>367.50666666666666</v>
      </c>
      <c r="Z311" s="83">
        <f t="shared" si="141"/>
        <v>367</v>
      </c>
      <c r="AA311" s="83">
        <f t="shared" si="141"/>
        <v>366</v>
      </c>
      <c r="AB311" s="83">
        <f t="shared" si="141"/>
        <v>366</v>
      </c>
      <c r="AC311" s="83">
        <f t="shared" si="141"/>
        <v>366</v>
      </c>
      <c r="AD311" s="83">
        <f t="shared" si="141"/>
        <v>366</v>
      </c>
      <c r="AE311" s="83">
        <f>+SUM(S311:AD311)/$AB$2</f>
        <v>374.52333333333337</v>
      </c>
      <c r="AF311" s="83"/>
      <c r="AH311" s="83"/>
      <c r="AI311" s="83"/>
      <c r="BB311" s="101">
        <f t="shared" si="128"/>
        <v>3370.7100000000005</v>
      </c>
      <c r="BD311" s="112">
        <f t="shared" si="144"/>
        <v>0.75</v>
      </c>
      <c r="BE311" s="136">
        <f t="shared" si="145"/>
        <v>3370.7100000000005</v>
      </c>
      <c r="BF311" s="137">
        <f t="shared" si="146"/>
        <v>0</v>
      </c>
      <c r="BG311" s="113">
        <f t="shared" si="147"/>
        <v>0</v>
      </c>
    </row>
    <row r="312" spans="1:59" s="62" customFormat="1" outlineLevel="1" x14ac:dyDescent="0.25">
      <c r="A312" s="62" t="str">
        <f t="shared" si="138"/>
        <v>MURREYSMULTI-FAMILYMRENT2YDRECY</v>
      </c>
      <c r="B312" s="81" t="s">
        <v>1114</v>
      </c>
      <c r="C312" s="81" t="s">
        <v>1115</v>
      </c>
      <c r="D312" s="82">
        <v>11.58</v>
      </c>
      <c r="E312" s="82">
        <v>11.58</v>
      </c>
      <c r="F312" s="83">
        <v>370.55999999999995</v>
      </c>
      <c r="G312" s="83">
        <v>370.55999999999995</v>
      </c>
      <c r="H312" s="83">
        <v>370.55999999999995</v>
      </c>
      <c r="I312" s="83">
        <v>370.55999999999995</v>
      </c>
      <c r="J312" s="83">
        <v>370.55999999999995</v>
      </c>
      <c r="K312" s="83">
        <v>370.55999999999995</v>
      </c>
      <c r="L312" s="83">
        <v>370.55999999999995</v>
      </c>
      <c r="M312" s="83">
        <v>370.55999999999995</v>
      </c>
      <c r="N312" s="83">
        <v>370.55999999999995</v>
      </c>
      <c r="O312" s="83">
        <v>370.55999999999995</v>
      </c>
      <c r="P312" s="83">
        <v>370.55999999999995</v>
      </c>
      <c r="Q312" s="83">
        <v>312.65999999999997</v>
      </c>
      <c r="R312" s="116">
        <f t="shared" si="139"/>
        <v>4388.82</v>
      </c>
      <c r="S312" s="83">
        <f t="shared" si="148"/>
        <v>31.999999999999996</v>
      </c>
      <c r="T312" s="83">
        <f t="shared" si="140"/>
        <v>31.999999999999996</v>
      </c>
      <c r="U312" s="83">
        <f t="shared" si="141"/>
        <v>31.999999999999996</v>
      </c>
      <c r="V312" s="83">
        <f t="shared" si="141"/>
        <v>31.999999999999996</v>
      </c>
      <c r="W312" s="83">
        <f t="shared" si="141"/>
        <v>31.999999999999996</v>
      </c>
      <c r="X312" s="83">
        <f t="shared" si="141"/>
        <v>31.999999999999996</v>
      </c>
      <c r="Y312" s="83">
        <f t="shared" si="141"/>
        <v>31.999999999999996</v>
      </c>
      <c r="Z312" s="83">
        <f t="shared" si="141"/>
        <v>31.999999999999996</v>
      </c>
      <c r="AA312" s="83">
        <f t="shared" si="141"/>
        <v>31.999999999999996</v>
      </c>
      <c r="AB312" s="83">
        <f t="shared" si="141"/>
        <v>31.999999999999996</v>
      </c>
      <c r="AC312" s="83">
        <f t="shared" si="141"/>
        <v>31.999999999999996</v>
      </c>
      <c r="AD312" s="83">
        <f t="shared" si="141"/>
        <v>26.999999999999996</v>
      </c>
      <c r="AE312" s="83">
        <f t="shared" si="149"/>
        <v>31.583333333333329</v>
      </c>
      <c r="AF312" s="83"/>
      <c r="AH312" s="83"/>
      <c r="AI312" s="83"/>
      <c r="BB312" s="101">
        <f t="shared" si="128"/>
        <v>4388.82</v>
      </c>
      <c r="BD312" s="112">
        <f t="shared" si="144"/>
        <v>11.63</v>
      </c>
      <c r="BE312" s="136">
        <f t="shared" si="145"/>
        <v>4407.7699999999995</v>
      </c>
      <c r="BF312" s="137">
        <f t="shared" si="146"/>
        <v>18.949999999999818</v>
      </c>
      <c r="BG312" s="113">
        <f t="shared" si="147"/>
        <v>4.3177892918825154E-3</v>
      </c>
    </row>
    <row r="313" spans="1:59" s="62" customFormat="1" outlineLevel="1" x14ac:dyDescent="0.25">
      <c r="A313" s="62" t="str">
        <f t="shared" si="138"/>
        <v>MURREYSMULTI-FAMILYMRENT6YDRECY</v>
      </c>
      <c r="B313" s="81" t="s">
        <v>1116</v>
      </c>
      <c r="C313" s="81" t="s">
        <v>1117</v>
      </c>
      <c r="D313" s="82">
        <v>17.100000000000001</v>
      </c>
      <c r="E313" s="82">
        <v>17.100000000000001</v>
      </c>
      <c r="F313" s="83">
        <v>547.20000000000005</v>
      </c>
      <c r="G313" s="83">
        <v>547.20000000000005</v>
      </c>
      <c r="H313" s="83">
        <v>581.40000000000009</v>
      </c>
      <c r="I313" s="83">
        <v>547.20000000000005</v>
      </c>
      <c r="J313" s="83">
        <v>564.29999999999995</v>
      </c>
      <c r="K313" s="83">
        <v>564.29999999999995</v>
      </c>
      <c r="L313" s="83">
        <v>564.29999999999995</v>
      </c>
      <c r="M313" s="83">
        <v>564.29999999999995</v>
      </c>
      <c r="N313" s="83">
        <v>564.29999999999995</v>
      </c>
      <c r="O313" s="83">
        <v>581.40000000000009</v>
      </c>
      <c r="P313" s="83">
        <v>598.5</v>
      </c>
      <c r="Q313" s="83">
        <v>598.5</v>
      </c>
      <c r="R313" s="116">
        <f t="shared" si="139"/>
        <v>6822.9000000000015</v>
      </c>
      <c r="S313" s="83">
        <f t="shared" si="148"/>
        <v>32</v>
      </c>
      <c r="T313" s="83">
        <f t="shared" si="140"/>
        <v>32</v>
      </c>
      <c r="U313" s="83">
        <f t="shared" si="141"/>
        <v>34</v>
      </c>
      <c r="V313" s="83">
        <f t="shared" si="141"/>
        <v>32</v>
      </c>
      <c r="W313" s="83">
        <f t="shared" si="141"/>
        <v>32.999999999999993</v>
      </c>
      <c r="X313" s="83">
        <f t="shared" si="141"/>
        <v>32.999999999999993</v>
      </c>
      <c r="Y313" s="83">
        <f t="shared" si="141"/>
        <v>32.999999999999993</v>
      </c>
      <c r="Z313" s="83">
        <f t="shared" si="141"/>
        <v>32.999999999999993</v>
      </c>
      <c r="AA313" s="83">
        <f t="shared" si="141"/>
        <v>32.999999999999993</v>
      </c>
      <c r="AB313" s="83">
        <f t="shared" si="141"/>
        <v>34</v>
      </c>
      <c r="AC313" s="83">
        <f t="shared" si="141"/>
        <v>35</v>
      </c>
      <c r="AD313" s="83">
        <f t="shared" si="141"/>
        <v>35</v>
      </c>
      <c r="AE313" s="83">
        <f t="shared" si="149"/>
        <v>33.25</v>
      </c>
      <c r="AF313" s="83"/>
      <c r="AH313" s="83"/>
      <c r="AI313" s="83"/>
      <c r="BB313" s="101">
        <f t="shared" si="128"/>
        <v>6822.9000000000005</v>
      </c>
      <c r="BD313" s="112">
        <f t="shared" si="144"/>
        <v>17.18</v>
      </c>
      <c r="BE313" s="136">
        <f t="shared" si="145"/>
        <v>6854.82</v>
      </c>
      <c r="BF313" s="137">
        <f t="shared" si="146"/>
        <v>31.919999999999163</v>
      </c>
      <c r="BG313" s="113">
        <f t="shared" si="147"/>
        <v>4.6783625730992921E-3</v>
      </c>
    </row>
    <row r="314" spans="1:59" s="62" customFormat="1" outlineLevel="1" x14ac:dyDescent="0.25">
      <c r="B314" s="81"/>
      <c r="C314" s="85"/>
      <c r="D314" s="82"/>
      <c r="E314" s="82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117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H314" s="83"/>
      <c r="AI314" s="83"/>
      <c r="BB314" s="101"/>
    </row>
    <row r="315" spans="1:59" s="62" customFormat="1" outlineLevel="1" x14ac:dyDescent="0.25">
      <c r="B315" s="81"/>
      <c r="C315" s="85" t="s">
        <v>1118</v>
      </c>
      <c r="D315" s="82"/>
      <c r="E315" s="82"/>
      <c r="F315" s="86">
        <f t="shared" ref="F315:R315" si="153">SUM(F306:F314)</f>
        <v>29321.330000000005</v>
      </c>
      <c r="G315" s="86">
        <f t="shared" si="153"/>
        <v>29395.290000000005</v>
      </c>
      <c r="H315" s="86">
        <f t="shared" si="153"/>
        <v>30075.790000000005</v>
      </c>
      <c r="I315" s="86">
        <f t="shared" si="153"/>
        <v>29642.610000000004</v>
      </c>
      <c r="J315" s="86">
        <f t="shared" si="153"/>
        <v>30050.49</v>
      </c>
      <c r="K315" s="86">
        <f t="shared" si="153"/>
        <v>29957.160000000003</v>
      </c>
      <c r="L315" s="86">
        <f t="shared" si="153"/>
        <v>30166.870000000003</v>
      </c>
      <c r="M315" s="86">
        <f t="shared" si="153"/>
        <v>30290.079999999998</v>
      </c>
      <c r="N315" s="86">
        <f t="shared" si="153"/>
        <v>30543.67</v>
      </c>
      <c r="O315" s="86">
        <f t="shared" si="153"/>
        <v>30868.400000000001</v>
      </c>
      <c r="P315" s="86">
        <f t="shared" si="153"/>
        <v>31269.210000000003</v>
      </c>
      <c r="Q315" s="86">
        <f t="shared" si="153"/>
        <v>30783.34</v>
      </c>
      <c r="R315" s="86">
        <f t="shared" si="153"/>
        <v>362364.24</v>
      </c>
      <c r="S315" s="86">
        <f>+SUM(S306:S310)</f>
        <v>2552.193372957096</v>
      </c>
      <c r="T315" s="86">
        <f t="shared" ref="T315:AD315" si="154">+SUM(T306:T310)</f>
        <v>2562.11456860927</v>
      </c>
      <c r="U315" s="86">
        <f t="shared" si="154"/>
        <v>2598.6045263259721</v>
      </c>
      <c r="V315" s="86">
        <f t="shared" si="154"/>
        <v>2598.11456860927</v>
      </c>
      <c r="W315" s="86">
        <f t="shared" si="154"/>
        <v>2615.5244523301999</v>
      </c>
      <c r="X315" s="86">
        <f t="shared" si="154"/>
        <v>2603.0244523301999</v>
      </c>
      <c r="Y315" s="86">
        <f t="shared" si="154"/>
        <v>2632.0244523301999</v>
      </c>
      <c r="Z315" s="86">
        <f t="shared" si="154"/>
        <v>2648.775112528624</v>
      </c>
      <c r="AA315" s="86">
        <f t="shared" si="154"/>
        <v>2665.3877623925023</v>
      </c>
      <c r="AB315" s="86">
        <f t="shared" si="154"/>
        <v>2685.4660071746093</v>
      </c>
      <c r="AC315" s="86">
        <f t="shared" si="154"/>
        <v>2701.6322391352674</v>
      </c>
      <c r="AD315" s="86">
        <f t="shared" si="154"/>
        <v>2671.575682448648</v>
      </c>
      <c r="AE315" s="86">
        <f>+SUM(AE306:AE310)</f>
        <v>2627.869766430988</v>
      </c>
      <c r="AF315" s="87"/>
      <c r="AH315" s="83"/>
      <c r="AI315" s="83"/>
      <c r="BB315" s="118">
        <f>SUM(BB306:BB314)</f>
        <v>362364.24000000005</v>
      </c>
      <c r="BE315" s="118">
        <f>SUM(BE306:BE314)</f>
        <v>363943.68572278298</v>
      </c>
      <c r="BF315" s="118">
        <f>SUM(BF306:BF314)</f>
        <v>1579.445722782903</v>
      </c>
      <c r="BG315" s="113">
        <f t="shared" ref="BG315" si="155">IFERROR(+BF315/BB315,0)</f>
        <v>4.3587240362981255E-3</v>
      </c>
    </row>
    <row r="316" spans="1:59" s="62" customFormat="1" outlineLevel="1" x14ac:dyDescent="0.25">
      <c r="B316" s="81"/>
      <c r="C316" s="85"/>
      <c r="D316" s="82"/>
      <c r="E316" s="82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117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H316" s="83"/>
      <c r="AI316" s="83"/>
      <c r="BB316" s="101"/>
    </row>
    <row r="317" spans="1:59" s="62" customFormat="1" outlineLevel="1" x14ac:dyDescent="0.25">
      <c r="D317" s="82"/>
      <c r="E317" s="82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117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H317" s="83"/>
      <c r="AI317" s="83"/>
      <c r="BB317" s="101"/>
    </row>
    <row r="318" spans="1:59" s="61" customFormat="1" ht="15.75" thickBot="1" x14ac:dyDescent="0.3">
      <c r="B318" s="61" t="s">
        <v>1119</v>
      </c>
      <c r="D318" s="82"/>
      <c r="E318" s="82"/>
      <c r="F318" s="89">
        <f t="shared" ref="F318:AE318" si="156">+F207+F245+F303+F315</f>
        <v>750485.19499999972</v>
      </c>
      <c r="G318" s="89">
        <f t="shared" si="156"/>
        <v>743562.92999999993</v>
      </c>
      <c r="H318" s="89">
        <f t="shared" si="156"/>
        <v>751668.14</v>
      </c>
      <c r="I318" s="89">
        <f t="shared" si="156"/>
        <v>718167.5299999998</v>
      </c>
      <c r="J318" s="89">
        <f t="shared" si="156"/>
        <v>717665.52999999991</v>
      </c>
      <c r="K318" s="89">
        <f t="shared" si="156"/>
        <v>745416.54999999981</v>
      </c>
      <c r="L318" s="89">
        <f t="shared" si="156"/>
        <v>745208.69000000006</v>
      </c>
      <c r="M318" s="89">
        <f t="shared" si="156"/>
        <v>763132.11</v>
      </c>
      <c r="N318" s="89">
        <f t="shared" si="156"/>
        <v>762317.67500000016</v>
      </c>
      <c r="O318" s="89">
        <f t="shared" si="156"/>
        <v>771065.125</v>
      </c>
      <c r="P318" s="89">
        <f t="shared" si="156"/>
        <v>764228.48999999987</v>
      </c>
      <c r="Q318" s="89">
        <f t="shared" si="156"/>
        <v>764392.4700000002</v>
      </c>
      <c r="R318" s="89">
        <f t="shared" si="156"/>
        <v>8997310.4350000005</v>
      </c>
      <c r="S318" s="89">
        <f t="shared" si="156"/>
        <v>10483.806552366896</v>
      </c>
      <c r="T318" s="89">
        <f t="shared" si="156"/>
        <v>10078.731677944315</v>
      </c>
      <c r="U318" s="89">
        <f t="shared" si="156"/>
        <v>10716.021798516631</v>
      </c>
      <c r="V318" s="89">
        <f t="shared" si="156"/>
        <v>10341.345124384123</v>
      </c>
      <c r="W318" s="89">
        <f t="shared" si="156"/>
        <v>10255.985871050718</v>
      </c>
      <c r="X318" s="89">
        <f t="shared" si="156"/>
        <v>11024.830415178283</v>
      </c>
      <c r="Y318" s="89">
        <f t="shared" si="156"/>
        <v>10775.207038020733</v>
      </c>
      <c r="Z318" s="89">
        <f t="shared" si="156"/>
        <v>10939.408872986529</v>
      </c>
      <c r="AA318" s="89">
        <f t="shared" si="156"/>
        <v>11222.347215028636</v>
      </c>
      <c r="AB318" s="89">
        <f t="shared" si="156"/>
        <v>11091.514748313079</v>
      </c>
      <c r="AC318" s="89">
        <f t="shared" si="156"/>
        <v>10993.372127944156</v>
      </c>
      <c r="AD318" s="89">
        <f t="shared" si="156"/>
        <v>10787.01830765788</v>
      </c>
      <c r="AE318" s="89">
        <f t="shared" si="156"/>
        <v>7336.0158980104115</v>
      </c>
      <c r="AF318" s="89"/>
      <c r="AH318" s="89"/>
      <c r="AI318" s="89"/>
      <c r="AK318" s="62"/>
      <c r="AL318" s="62"/>
      <c r="BA318" s="62"/>
      <c r="BB318" s="120">
        <f>+BB315+BB303+BB245+BB207</f>
        <v>9009505.4604763836</v>
      </c>
      <c r="BE318" s="120">
        <f t="shared" ref="BE318:BF318" si="157">+BE315+BE303+BE245+BE207</f>
        <v>9051397.2552794628</v>
      </c>
      <c r="BF318" s="120">
        <f t="shared" si="157"/>
        <v>41891.794803078999</v>
      </c>
      <c r="BG318" s="113">
        <f t="shared" ref="BG318" si="158">IFERROR(+BF318/BB318,0)</f>
        <v>4.6497329944305225E-3</v>
      </c>
    </row>
    <row r="319" spans="1:59" s="61" customFormat="1" ht="15.75" outlineLevel="1" thickTop="1" x14ac:dyDescent="0.25">
      <c r="D319" s="82"/>
      <c r="E319" s="82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117"/>
      <c r="S319" s="89"/>
      <c r="T319" s="89"/>
      <c r="U319" s="89"/>
      <c r="V319" s="89"/>
      <c r="W319" s="89"/>
      <c r="X319" s="89"/>
      <c r="Y319" s="89"/>
      <c r="Z319" s="89"/>
      <c r="AA319" s="89"/>
      <c r="AB319" s="89"/>
      <c r="AC319" s="89"/>
      <c r="AD319" s="89"/>
      <c r="AE319" s="89"/>
      <c r="AF319" s="89"/>
      <c r="AH319" s="89"/>
      <c r="AI319" s="89"/>
      <c r="AK319" s="62"/>
      <c r="AL319" s="62"/>
      <c r="BA319" s="62"/>
      <c r="BB319" s="101"/>
    </row>
    <row r="320" spans="1:59" s="62" customFormat="1" outlineLevel="1" x14ac:dyDescent="0.25">
      <c r="D320" s="82"/>
      <c r="E320" s="82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117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H320" s="83"/>
      <c r="AI320" s="83"/>
      <c r="BB320" s="101"/>
    </row>
    <row r="321" spans="1:59" s="62" customFormat="1" outlineLevel="1" x14ac:dyDescent="0.25">
      <c r="B321" s="76" t="s">
        <v>1120</v>
      </c>
      <c r="C321" s="77"/>
      <c r="D321" s="82"/>
      <c r="E321" s="82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117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H321" s="83"/>
      <c r="AI321" s="83"/>
      <c r="BB321" s="101"/>
    </row>
    <row r="322" spans="1:59" s="62" customFormat="1" outlineLevel="1" x14ac:dyDescent="0.25">
      <c r="B322" s="77"/>
      <c r="C322" s="77"/>
      <c r="D322" s="82"/>
      <c r="E322" s="82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117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H322" s="83"/>
      <c r="AI322" s="83"/>
      <c r="BB322" s="101"/>
    </row>
    <row r="323" spans="1:59" s="62" customFormat="1" outlineLevel="1" x14ac:dyDescent="0.25">
      <c r="A323" s="62" t="s">
        <v>1121</v>
      </c>
      <c r="B323" s="88" t="s">
        <v>1122</v>
      </c>
      <c r="C323" s="81"/>
      <c r="D323" s="82"/>
      <c r="E323" s="82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117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H323" s="83"/>
      <c r="AI323" s="83"/>
      <c r="BB323" s="101"/>
    </row>
    <row r="324" spans="1:59" s="62" customFormat="1" outlineLevel="1" x14ac:dyDescent="0.25">
      <c r="A324" s="62" t="str">
        <f t="shared" ref="A324:A387" si="159">+$A$4&amp;$A$323&amp;B324</f>
        <v>MURREYSROLLOFFROHAUL20</v>
      </c>
      <c r="B324" s="81" t="s">
        <v>1123</v>
      </c>
      <c r="C324" s="81" t="s">
        <v>1124</v>
      </c>
      <c r="D324" s="82">
        <v>94.43</v>
      </c>
      <c r="E324" s="82">
        <v>94.43</v>
      </c>
      <c r="F324" s="83">
        <v>14825.509999999998</v>
      </c>
      <c r="G324" s="83">
        <v>12936.91</v>
      </c>
      <c r="H324" s="83">
        <v>12559.19</v>
      </c>
      <c r="I324" s="83">
        <v>10292.870000000001</v>
      </c>
      <c r="J324" s="83">
        <v>11142.74</v>
      </c>
      <c r="K324" s="83">
        <v>11142.74</v>
      </c>
      <c r="L324" s="83">
        <v>13597.920000000002</v>
      </c>
      <c r="M324" s="83">
        <v>12207.470000000001</v>
      </c>
      <c r="N324" s="83">
        <v>12499.080000000002</v>
      </c>
      <c r="O324" s="83">
        <v>15529.16</v>
      </c>
      <c r="P324" s="83">
        <v>13161.91</v>
      </c>
      <c r="Q324" s="83">
        <v>17328.27</v>
      </c>
      <c r="R324" s="116">
        <f t="shared" ref="R324:R388" si="160">+SUM(F324:Q324)</f>
        <v>157223.76999999999</v>
      </c>
      <c r="S324" s="83">
        <f t="shared" ref="S324:T388" si="161">+IFERROR(F324/$D324,0)</f>
        <v>156.99999999999997</v>
      </c>
      <c r="T324" s="83">
        <f t="shared" si="161"/>
        <v>137</v>
      </c>
      <c r="U324" s="83">
        <f t="shared" ref="U324:AD339" si="162">+IFERROR(H324/$E324,0)</f>
        <v>133</v>
      </c>
      <c r="V324" s="83">
        <f t="shared" si="162"/>
        <v>109</v>
      </c>
      <c r="W324" s="83">
        <f t="shared" si="162"/>
        <v>117.99999999999999</v>
      </c>
      <c r="X324" s="83">
        <f t="shared" si="162"/>
        <v>117.99999999999999</v>
      </c>
      <c r="Y324" s="83">
        <f t="shared" si="162"/>
        <v>144</v>
      </c>
      <c r="Z324" s="83">
        <f t="shared" si="162"/>
        <v>129.27533622789369</v>
      </c>
      <c r="AA324" s="83">
        <f t="shared" si="162"/>
        <v>132.36344382081967</v>
      </c>
      <c r="AB324" s="83">
        <f t="shared" si="162"/>
        <v>164.45155141374562</v>
      </c>
      <c r="AC324" s="83">
        <f t="shared" si="162"/>
        <v>139.38271735677219</v>
      </c>
      <c r="AD324" s="83">
        <f t="shared" si="162"/>
        <v>183.50386529704542</v>
      </c>
      <c r="AE324" s="83">
        <f t="shared" ref="AE324:AE388" si="163">+SUM(S324:AD324)/$AB$2</f>
        <v>138.74807617635636</v>
      </c>
      <c r="AF324" s="83"/>
      <c r="AH324" s="83"/>
      <c r="AI324" s="83"/>
      <c r="BB324" s="101">
        <f t="shared" si="128"/>
        <v>157223.76999999999</v>
      </c>
      <c r="BD324" s="112">
        <f t="shared" ref="BD324:BD387" si="164">ROUND(E324*(1+$BF$4),2)</f>
        <v>94.87</v>
      </c>
      <c r="BE324" s="136">
        <f t="shared" ref="BE324:BE387" si="165">BD324*AE324*12</f>
        <v>157956.35984221112</v>
      </c>
      <c r="BF324" s="137">
        <f t="shared" ref="BF324:BF387" si="166">+BE324-BB324</f>
        <v>732.58984221113496</v>
      </c>
      <c r="BG324" s="113">
        <f t="shared" ref="BG324:BG387" si="167">IFERROR(+BF324/BB324,0)</f>
        <v>4.6595361643543788E-3</v>
      </c>
    </row>
    <row r="325" spans="1:59" s="62" customFormat="1" outlineLevel="1" x14ac:dyDescent="0.25">
      <c r="A325" s="62" t="str">
        <f t="shared" si="159"/>
        <v>MURREYSROLLOFFROHAUL20A</v>
      </c>
      <c r="B325" s="81" t="s">
        <v>1125</v>
      </c>
      <c r="C325" s="81" t="s">
        <v>1126</v>
      </c>
      <c r="D325" s="82">
        <v>0</v>
      </c>
      <c r="E325" s="82">
        <v>0</v>
      </c>
      <c r="F325" s="83">
        <v>0</v>
      </c>
      <c r="G325" s="83">
        <v>0</v>
      </c>
      <c r="H325" s="83">
        <v>0</v>
      </c>
      <c r="I325" s="83">
        <v>0</v>
      </c>
      <c r="J325" s="83">
        <v>0</v>
      </c>
      <c r="K325" s="83">
        <v>0</v>
      </c>
      <c r="L325" s="83">
        <v>0</v>
      </c>
      <c r="M325" s="83">
        <v>0</v>
      </c>
      <c r="N325" s="83">
        <v>0</v>
      </c>
      <c r="O325" s="83">
        <v>0</v>
      </c>
      <c r="P325" s="83">
        <v>0</v>
      </c>
      <c r="Q325" s="83">
        <v>0</v>
      </c>
      <c r="R325" s="116">
        <f t="shared" si="160"/>
        <v>0</v>
      </c>
      <c r="S325" s="83">
        <f t="shared" si="161"/>
        <v>0</v>
      </c>
      <c r="T325" s="83">
        <f t="shared" si="161"/>
        <v>0</v>
      </c>
      <c r="U325" s="83">
        <f t="shared" si="162"/>
        <v>0</v>
      </c>
      <c r="V325" s="83">
        <f t="shared" si="162"/>
        <v>0</v>
      </c>
      <c r="W325" s="83">
        <f t="shared" si="162"/>
        <v>0</v>
      </c>
      <c r="X325" s="83">
        <f t="shared" si="162"/>
        <v>0</v>
      </c>
      <c r="Y325" s="83">
        <f t="shared" si="162"/>
        <v>0</v>
      </c>
      <c r="Z325" s="83">
        <f t="shared" si="162"/>
        <v>0</v>
      </c>
      <c r="AA325" s="83">
        <f t="shared" si="162"/>
        <v>0</v>
      </c>
      <c r="AB325" s="83">
        <f t="shared" si="162"/>
        <v>0</v>
      </c>
      <c r="AC325" s="83">
        <f t="shared" si="162"/>
        <v>0</v>
      </c>
      <c r="AD325" s="83">
        <f t="shared" si="162"/>
        <v>0</v>
      </c>
      <c r="AE325" s="83">
        <f t="shared" si="163"/>
        <v>0</v>
      </c>
      <c r="AF325" s="83"/>
      <c r="AH325" s="83"/>
      <c r="AI325" s="83"/>
      <c r="BB325" s="101">
        <f t="shared" si="128"/>
        <v>0</v>
      </c>
      <c r="BD325" s="112">
        <f t="shared" si="164"/>
        <v>0</v>
      </c>
      <c r="BE325" s="136">
        <f t="shared" si="165"/>
        <v>0</v>
      </c>
      <c r="BF325" s="137">
        <f t="shared" si="166"/>
        <v>0</v>
      </c>
      <c r="BG325" s="113">
        <f t="shared" si="167"/>
        <v>0</v>
      </c>
    </row>
    <row r="326" spans="1:59" s="62" customFormat="1" outlineLevel="1" x14ac:dyDescent="0.25">
      <c r="A326" s="62" t="str">
        <f t="shared" si="159"/>
        <v>MURREYSROLLOFFROHAUL20CO</v>
      </c>
      <c r="B326" s="81" t="s">
        <v>1127</v>
      </c>
      <c r="C326" s="81" t="s">
        <v>1128</v>
      </c>
      <c r="D326" s="82">
        <v>94.43</v>
      </c>
      <c r="E326" s="82">
        <v>94.43</v>
      </c>
      <c r="F326" s="83">
        <v>283.29000000000002</v>
      </c>
      <c r="G326" s="83">
        <v>188.86</v>
      </c>
      <c r="H326" s="83">
        <v>188.86</v>
      </c>
      <c r="I326" s="83">
        <v>188.86</v>
      </c>
      <c r="J326" s="83">
        <v>94.43</v>
      </c>
      <c r="K326" s="83">
        <v>94.43</v>
      </c>
      <c r="L326" s="83">
        <v>0</v>
      </c>
      <c r="M326" s="83">
        <v>94.69</v>
      </c>
      <c r="N326" s="83">
        <v>94.69</v>
      </c>
      <c r="O326" s="83">
        <v>94.69</v>
      </c>
      <c r="P326" s="83">
        <v>0</v>
      </c>
      <c r="Q326" s="83">
        <v>94.69</v>
      </c>
      <c r="R326" s="116">
        <f t="shared" si="160"/>
        <v>1417.4900000000002</v>
      </c>
      <c r="S326" s="83">
        <f t="shared" si="161"/>
        <v>3</v>
      </c>
      <c r="T326" s="83">
        <f t="shared" si="161"/>
        <v>2</v>
      </c>
      <c r="U326" s="83">
        <f t="shared" si="162"/>
        <v>2</v>
      </c>
      <c r="V326" s="83">
        <f t="shared" si="162"/>
        <v>2</v>
      </c>
      <c r="W326" s="83">
        <f t="shared" si="162"/>
        <v>1</v>
      </c>
      <c r="X326" s="83">
        <f t="shared" si="162"/>
        <v>1</v>
      </c>
      <c r="Y326" s="83">
        <f t="shared" si="162"/>
        <v>0</v>
      </c>
      <c r="Z326" s="83">
        <f t="shared" si="162"/>
        <v>1.0027533622789366</v>
      </c>
      <c r="AA326" s="83">
        <f t="shared" si="162"/>
        <v>1.0027533622789366</v>
      </c>
      <c r="AB326" s="83">
        <f t="shared" si="162"/>
        <v>1.0027533622789366</v>
      </c>
      <c r="AC326" s="83">
        <f t="shared" si="162"/>
        <v>0</v>
      </c>
      <c r="AD326" s="83">
        <f t="shared" si="162"/>
        <v>1.0027533622789366</v>
      </c>
      <c r="AE326" s="83">
        <f t="shared" si="163"/>
        <v>1.250917787426312</v>
      </c>
      <c r="AF326" s="83"/>
      <c r="AH326" s="83"/>
      <c r="AI326" s="83"/>
      <c r="BB326" s="101">
        <f t="shared" si="128"/>
        <v>1417.4899999999998</v>
      </c>
      <c r="BD326" s="112">
        <f t="shared" si="164"/>
        <v>94.87</v>
      </c>
      <c r="BE326" s="136">
        <f t="shared" si="165"/>
        <v>1424.0948459176107</v>
      </c>
      <c r="BF326" s="137">
        <f t="shared" si="166"/>
        <v>6.6048459176108736</v>
      </c>
      <c r="BG326" s="113">
        <f t="shared" si="167"/>
        <v>4.6595361643545097E-3</v>
      </c>
    </row>
    <row r="327" spans="1:59" s="62" customFormat="1" outlineLevel="1" x14ac:dyDescent="0.25">
      <c r="A327" s="62" t="str">
        <f t="shared" si="159"/>
        <v>MURREYSROLLOFFROHAUL20T</v>
      </c>
      <c r="B327" s="81" t="s">
        <v>1129</v>
      </c>
      <c r="C327" s="81" t="s">
        <v>1130</v>
      </c>
      <c r="D327" s="82">
        <v>112.69</v>
      </c>
      <c r="E327" s="82">
        <v>112.69</v>
      </c>
      <c r="F327" s="83">
        <v>2479.1800000000003</v>
      </c>
      <c r="G327" s="83">
        <v>1126.9000000000001</v>
      </c>
      <c r="H327" s="83">
        <v>3493.3900000000003</v>
      </c>
      <c r="I327" s="83">
        <v>3155.32</v>
      </c>
      <c r="J327" s="83">
        <v>4958.3600000000006</v>
      </c>
      <c r="K327" s="83">
        <v>4962.1200000000008</v>
      </c>
      <c r="L327" s="83">
        <v>3104.43</v>
      </c>
      <c r="M327" s="83">
        <v>2371.4500000000003</v>
      </c>
      <c r="N327" s="83">
        <v>4068</v>
      </c>
      <c r="O327" s="83">
        <v>2599</v>
      </c>
      <c r="P327" s="83">
        <v>1921</v>
      </c>
      <c r="Q327" s="83">
        <v>2712</v>
      </c>
      <c r="R327" s="116">
        <f t="shared" si="160"/>
        <v>36951.150000000009</v>
      </c>
      <c r="S327" s="83">
        <f t="shared" si="161"/>
        <v>22.000000000000004</v>
      </c>
      <c r="T327" s="83">
        <f t="shared" si="161"/>
        <v>10.000000000000002</v>
      </c>
      <c r="U327" s="83">
        <f t="shared" si="162"/>
        <v>31.000000000000004</v>
      </c>
      <c r="V327" s="83">
        <f t="shared" si="162"/>
        <v>28.000000000000004</v>
      </c>
      <c r="W327" s="83">
        <f t="shared" si="162"/>
        <v>44.000000000000007</v>
      </c>
      <c r="X327" s="83">
        <f t="shared" si="162"/>
        <v>44.033365870973476</v>
      </c>
      <c r="Y327" s="83">
        <f t="shared" si="162"/>
        <v>27.54840713461709</v>
      </c>
      <c r="Z327" s="83">
        <f t="shared" si="162"/>
        <v>21.044014553199045</v>
      </c>
      <c r="AA327" s="83">
        <f t="shared" si="162"/>
        <v>36.099032744697844</v>
      </c>
      <c r="AB327" s="83">
        <f t="shared" si="162"/>
        <v>23.063270920223623</v>
      </c>
      <c r="AC327" s="83">
        <f t="shared" si="162"/>
        <v>17.046765462773983</v>
      </c>
      <c r="AD327" s="83">
        <f t="shared" si="162"/>
        <v>24.066021829798562</v>
      </c>
      <c r="AE327" s="83">
        <f t="shared" si="163"/>
        <v>27.325073209690302</v>
      </c>
      <c r="AF327" s="83"/>
      <c r="AH327" s="83"/>
      <c r="AI327" s="83"/>
      <c r="BB327" s="101">
        <f t="shared" si="128"/>
        <v>36951.15</v>
      </c>
      <c r="BD327" s="112">
        <f t="shared" si="164"/>
        <v>113.22</v>
      </c>
      <c r="BE327" s="136">
        <f t="shared" si="165"/>
        <v>37124.937465613635</v>
      </c>
      <c r="BF327" s="137">
        <f t="shared" si="166"/>
        <v>173.78746561363369</v>
      </c>
      <c r="BG327" s="113">
        <f t="shared" si="167"/>
        <v>4.7031679829621998E-3</v>
      </c>
    </row>
    <row r="328" spans="1:59" s="62" customFormat="1" outlineLevel="1" x14ac:dyDescent="0.25">
      <c r="A328" s="62" t="str">
        <f t="shared" si="159"/>
        <v>MURREYSROLLOFFROHAUL25</v>
      </c>
      <c r="B328" s="81" t="s">
        <v>1131</v>
      </c>
      <c r="C328" s="81" t="s">
        <v>1132</v>
      </c>
      <c r="D328" s="82">
        <v>103.51</v>
      </c>
      <c r="E328" s="82">
        <v>103.51</v>
      </c>
      <c r="F328" s="83">
        <v>10661.529999999999</v>
      </c>
      <c r="G328" s="83">
        <v>10558.02</v>
      </c>
      <c r="H328" s="83">
        <v>12628.22</v>
      </c>
      <c r="I328" s="83">
        <v>8901.86</v>
      </c>
      <c r="J328" s="83">
        <v>7245.7000000000007</v>
      </c>
      <c r="K328" s="83">
        <v>8798.3499999999985</v>
      </c>
      <c r="L328" s="83">
        <v>9729.9399999999987</v>
      </c>
      <c r="M328" s="83">
        <v>8297.91</v>
      </c>
      <c r="N328" s="83">
        <v>10587.6</v>
      </c>
      <c r="O328" s="83">
        <v>8719.2000000000007</v>
      </c>
      <c r="P328" s="83">
        <v>9038.39</v>
      </c>
      <c r="Q328" s="83">
        <v>8926.7999999999993</v>
      </c>
      <c r="R328" s="116">
        <f t="shared" si="160"/>
        <v>114093.52</v>
      </c>
      <c r="S328" s="83">
        <f t="shared" si="161"/>
        <v>102.99999999999999</v>
      </c>
      <c r="T328" s="83">
        <f t="shared" si="161"/>
        <v>102</v>
      </c>
      <c r="U328" s="83">
        <f t="shared" si="162"/>
        <v>121.99999999999999</v>
      </c>
      <c r="V328" s="83">
        <f t="shared" si="162"/>
        <v>86</v>
      </c>
      <c r="W328" s="83">
        <f t="shared" si="162"/>
        <v>70</v>
      </c>
      <c r="X328" s="83">
        <f t="shared" si="162"/>
        <v>84.999999999999986</v>
      </c>
      <c r="Y328" s="83">
        <f t="shared" si="162"/>
        <v>93.999999999999986</v>
      </c>
      <c r="Z328" s="83">
        <f t="shared" si="162"/>
        <v>80.165298038836823</v>
      </c>
      <c r="AA328" s="83">
        <f t="shared" si="162"/>
        <v>102.28576949087045</v>
      </c>
      <c r="AB328" s="83">
        <f t="shared" si="162"/>
        <v>84.23533958071684</v>
      </c>
      <c r="AC328" s="83">
        <f t="shared" si="162"/>
        <v>87.31900299487971</v>
      </c>
      <c r="AD328" s="83">
        <f t="shared" si="162"/>
        <v>86.240942904067225</v>
      </c>
      <c r="AE328" s="83">
        <f t="shared" si="163"/>
        <v>91.85386275078092</v>
      </c>
      <c r="AF328" s="83"/>
      <c r="AH328" s="83"/>
      <c r="AI328" s="83"/>
      <c r="BB328" s="101">
        <f t="shared" si="128"/>
        <v>114093.51999999999</v>
      </c>
      <c r="BD328" s="112">
        <f t="shared" si="164"/>
        <v>103.99</v>
      </c>
      <c r="BE328" s="136">
        <f t="shared" si="165"/>
        <v>114622.59824944451</v>
      </c>
      <c r="BF328" s="137">
        <f t="shared" si="166"/>
        <v>529.07824944451568</v>
      </c>
      <c r="BG328" s="113">
        <f t="shared" si="167"/>
        <v>4.6372331175733358E-3</v>
      </c>
    </row>
    <row r="329" spans="1:59" s="62" customFormat="1" outlineLevel="1" x14ac:dyDescent="0.25">
      <c r="A329" s="62" t="str">
        <f t="shared" si="159"/>
        <v>MURREYSROLLOFFROHAUL25A</v>
      </c>
      <c r="B329" s="81" t="s">
        <v>1133</v>
      </c>
      <c r="C329" s="81" t="s">
        <v>1134</v>
      </c>
      <c r="D329" s="82">
        <v>0</v>
      </c>
      <c r="E329" s="82">
        <v>0</v>
      </c>
      <c r="F329" s="83">
        <v>0</v>
      </c>
      <c r="G329" s="83">
        <v>0</v>
      </c>
      <c r="H329" s="83">
        <v>0</v>
      </c>
      <c r="I329" s="83">
        <v>0</v>
      </c>
      <c r="J329" s="83">
        <v>0</v>
      </c>
      <c r="K329" s="83">
        <v>0</v>
      </c>
      <c r="L329" s="83">
        <v>0</v>
      </c>
      <c r="M329" s="83">
        <v>0</v>
      </c>
      <c r="N329" s="83">
        <v>0</v>
      </c>
      <c r="O329" s="83">
        <v>0</v>
      </c>
      <c r="P329" s="83">
        <v>0</v>
      </c>
      <c r="Q329" s="83">
        <v>0</v>
      </c>
      <c r="R329" s="116">
        <f t="shared" si="160"/>
        <v>0</v>
      </c>
      <c r="S329" s="83">
        <f t="shared" si="161"/>
        <v>0</v>
      </c>
      <c r="T329" s="83">
        <f t="shared" si="161"/>
        <v>0</v>
      </c>
      <c r="U329" s="83">
        <f t="shared" si="162"/>
        <v>0</v>
      </c>
      <c r="V329" s="83">
        <f t="shared" si="162"/>
        <v>0</v>
      </c>
      <c r="W329" s="83">
        <f t="shared" si="162"/>
        <v>0</v>
      </c>
      <c r="X329" s="83">
        <f t="shared" si="162"/>
        <v>0</v>
      </c>
      <c r="Y329" s="83">
        <f t="shared" si="162"/>
        <v>0</v>
      </c>
      <c r="Z329" s="83">
        <f t="shared" si="162"/>
        <v>0</v>
      </c>
      <c r="AA329" s="83">
        <f t="shared" si="162"/>
        <v>0</v>
      </c>
      <c r="AB329" s="83">
        <f t="shared" si="162"/>
        <v>0</v>
      </c>
      <c r="AC329" s="83">
        <f t="shared" si="162"/>
        <v>0</v>
      </c>
      <c r="AD329" s="83">
        <f t="shared" si="162"/>
        <v>0</v>
      </c>
      <c r="AE329" s="83">
        <f t="shared" si="163"/>
        <v>0</v>
      </c>
      <c r="AF329" s="83"/>
      <c r="AH329" s="83"/>
      <c r="AI329" s="83"/>
      <c r="BB329" s="101">
        <f t="shared" si="128"/>
        <v>0</v>
      </c>
      <c r="BD329" s="112">
        <f t="shared" si="164"/>
        <v>0</v>
      </c>
      <c r="BE329" s="136">
        <f t="shared" si="165"/>
        <v>0</v>
      </c>
      <c r="BF329" s="137">
        <f t="shared" si="166"/>
        <v>0</v>
      </c>
      <c r="BG329" s="113">
        <f t="shared" si="167"/>
        <v>0</v>
      </c>
    </row>
    <row r="330" spans="1:59" s="62" customFormat="1" outlineLevel="1" x14ac:dyDescent="0.25">
      <c r="A330" s="62" t="str">
        <f t="shared" si="159"/>
        <v>MURREYSROLLOFFROHAUL25T</v>
      </c>
      <c r="B330" s="81" t="s">
        <v>1135</v>
      </c>
      <c r="C330" s="81" t="s">
        <v>1136</v>
      </c>
      <c r="D330" s="82">
        <v>120.31</v>
      </c>
      <c r="E330" s="82">
        <v>120.31</v>
      </c>
      <c r="F330" s="83">
        <v>3368.68</v>
      </c>
      <c r="G330" s="83">
        <v>601.54999999999995</v>
      </c>
      <c r="H330" s="83">
        <v>1203.0999999999999</v>
      </c>
      <c r="I330" s="83">
        <v>2045.27</v>
      </c>
      <c r="J330" s="83">
        <v>2165.58</v>
      </c>
      <c r="K330" s="83">
        <v>3248.37</v>
      </c>
      <c r="L330" s="83">
        <v>6617.05</v>
      </c>
      <c r="M330" s="83">
        <v>5063.22</v>
      </c>
      <c r="N330" s="83">
        <v>4102.0999999999995</v>
      </c>
      <c r="O330" s="83">
        <v>2051.0500000000002</v>
      </c>
      <c r="P330" s="83">
        <v>3257.55</v>
      </c>
      <c r="Q330" s="83">
        <v>1327.15</v>
      </c>
      <c r="R330" s="116">
        <f t="shared" si="160"/>
        <v>35050.67</v>
      </c>
      <c r="S330" s="83">
        <f t="shared" si="161"/>
        <v>27.999999999999996</v>
      </c>
      <c r="T330" s="83">
        <f t="shared" si="161"/>
        <v>4.9999999999999991</v>
      </c>
      <c r="U330" s="83">
        <f t="shared" si="162"/>
        <v>9.9999999999999982</v>
      </c>
      <c r="V330" s="83">
        <f t="shared" si="162"/>
        <v>17</v>
      </c>
      <c r="W330" s="83">
        <f t="shared" si="162"/>
        <v>18</v>
      </c>
      <c r="X330" s="83">
        <f t="shared" si="162"/>
        <v>27</v>
      </c>
      <c r="Y330" s="83">
        <f t="shared" si="162"/>
        <v>55</v>
      </c>
      <c r="Z330" s="83">
        <f t="shared" si="162"/>
        <v>42.084780982461972</v>
      </c>
      <c r="AA330" s="83">
        <f t="shared" si="162"/>
        <v>34.096085113456901</v>
      </c>
      <c r="AB330" s="83">
        <f t="shared" si="162"/>
        <v>17.048042556728454</v>
      </c>
      <c r="AC330" s="83">
        <f t="shared" si="162"/>
        <v>27.076302884215778</v>
      </c>
      <c r="AD330" s="83">
        <f t="shared" si="162"/>
        <v>11.031086360236058</v>
      </c>
      <c r="AE330" s="83">
        <f t="shared" si="163"/>
        <v>24.278024824758262</v>
      </c>
      <c r="AF330" s="83"/>
      <c r="AH330" s="83"/>
      <c r="AI330" s="83"/>
      <c r="BB330" s="101">
        <f t="shared" si="128"/>
        <v>35050.67</v>
      </c>
      <c r="BD330" s="112">
        <f t="shared" si="164"/>
        <v>120.87</v>
      </c>
      <c r="BE330" s="136">
        <f t="shared" si="165"/>
        <v>35213.818326822373</v>
      </c>
      <c r="BF330" s="137">
        <f t="shared" si="166"/>
        <v>163.14832682237466</v>
      </c>
      <c r="BG330" s="113">
        <f t="shared" si="167"/>
        <v>4.6546421743828195E-3</v>
      </c>
    </row>
    <row r="331" spans="1:59" s="62" customFormat="1" outlineLevel="1" x14ac:dyDescent="0.25">
      <c r="A331" s="62" t="str">
        <f t="shared" si="159"/>
        <v>MURREYSROLLOFFROHAUL30</v>
      </c>
      <c r="B331" s="81" t="s">
        <v>1137</v>
      </c>
      <c r="C331" s="81" t="s">
        <v>1138</v>
      </c>
      <c r="D331" s="82">
        <v>111.28</v>
      </c>
      <c r="E331" s="82">
        <v>111.28</v>
      </c>
      <c r="F331" s="83">
        <v>37723.919999999998</v>
      </c>
      <c r="G331" s="83">
        <v>34496.800000000003</v>
      </c>
      <c r="H331" s="83">
        <v>35609.599999999999</v>
      </c>
      <c r="I331" s="83">
        <v>31047.120000000003</v>
      </c>
      <c r="J331" s="83">
        <v>31492.239999999998</v>
      </c>
      <c r="K331" s="83">
        <v>33829.120000000003</v>
      </c>
      <c r="L331" s="83">
        <v>34608.080000000002</v>
      </c>
      <c r="M331" s="83">
        <v>33006.46</v>
      </c>
      <c r="N331" s="83">
        <v>33700.18</v>
      </c>
      <c r="O331" s="83">
        <v>35262.44</v>
      </c>
      <c r="P331" s="83">
        <v>31133.61</v>
      </c>
      <c r="Q331" s="83">
        <v>33477</v>
      </c>
      <c r="R331" s="116">
        <f t="shared" si="160"/>
        <v>405386.57</v>
      </c>
      <c r="S331" s="83">
        <f t="shared" si="161"/>
        <v>339</v>
      </c>
      <c r="T331" s="83">
        <f t="shared" si="161"/>
        <v>310</v>
      </c>
      <c r="U331" s="83">
        <f t="shared" si="162"/>
        <v>320</v>
      </c>
      <c r="V331" s="83">
        <f t="shared" si="162"/>
        <v>279</v>
      </c>
      <c r="W331" s="83">
        <f t="shared" si="162"/>
        <v>283</v>
      </c>
      <c r="X331" s="83">
        <f t="shared" si="162"/>
        <v>304</v>
      </c>
      <c r="Y331" s="83">
        <f t="shared" si="162"/>
        <v>311</v>
      </c>
      <c r="Z331" s="83">
        <f t="shared" si="162"/>
        <v>296.60729690869874</v>
      </c>
      <c r="AA331" s="83">
        <f t="shared" si="162"/>
        <v>302.84130122214236</v>
      </c>
      <c r="AB331" s="83">
        <f t="shared" si="162"/>
        <v>316.88030194104959</v>
      </c>
      <c r="AC331" s="83">
        <f t="shared" si="162"/>
        <v>279.77722861250896</v>
      </c>
      <c r="AD331" s="83">
        <f t="shared" si="162"/>
        <v>300.83572969086987</v>
      </c>
      <c r="AE331" s="83">
        <f t="shared" si="163"/>
        <v>303.57848819793912</v>
      </c>
      <c r="AF331" s="83"/>
      <c r="AH331" s="83"/>
      <c r="AI331" s="83"/>
      <c r="BB331" s="101">
        <f t="shared" si="128"/>
        <v>405386.56999999995</v>
      </c>
      <c r="BD331" s="112">
        <f t="shared" si="164"/>
        <v>111.8</v>
      </c>
      <c r="BE331" s="136">
        <f t="shared" si="165"/>
        <v>407280.89976635511</v>
      </c>
      <c r="BF331" s="137">
        <f t="shared" si="166"/>
        <v>1894.3297663551639</v>
      </c>
      <c r="BG331" s="113">
        <f t="shared" si="167"/>
        <v>4.6728971962617409E-3</v>
      </c>
    </row>
    <row r="332" spans="1:59" s="62" customFormat="1" outlineLevel="1" x14ac:dyDescent="0.25">
      <c r="A332" s="62" t="str">
        <f t="shared" si="159"/>
        <v>MURREYSROLLOFFROHAUL30A</v>
      </c>
      <c r="B332" s="81" t="s">
        <v>1139</v>
      </c>
      <c r="C332" s="81" t="s">
        <v>1140</v>
      </c>
      <c r="D332" s="82">
        <v>0</v>
      </c>
      <c r="E332" s="82">
        <v>0</v>
      </c>
      <c r="F332" s="83">
        <v>0</v>
      </c>
      <c r="G332" s="83">
        <v>0</v>
      </c>
      <c r="H332" s="83">
        <v>0</v>
      </c>
      <c r="I332" s="83">
        <v>0</v>
      </c>
      <c r="J332" s="83">
        <v>0</v>
      </c>
      <c r="K332" s="83">
        <v>0</v>
      </c>
      <c r="L332" s="83">
        <v>0</v>
      </c>
      <c r="M332" s="83">
        <v>0</v>
      </c>
      <c r="N332" s="83">
        <v>0</v>
      </c>
      <c r="O332" s="83">
        <v>0</v>
      </c>
      <c r="P332" s="83">
        <v>0</v>
      </c>
      <c r="Q332" s="83">
        <v>0</v>
      </c>
      <c r="R332" s="116">
        <f t="shared" si="160"/>
        <v>0</v>
      </c>
      <c r="S332" s="83">
        <f t="shared" si="161"/>
        <v>0</v>
      </c>
      <c r="T332" s="83">
        <f t="shared" si="161"/>
        <v>0</v>
      </c>
      <c r="U332" s="83">
        <f t="shared" si="162"/>
        <v>0</v>
      </c>
      <c r="V332" s="83">
        <f t="shared" si="162"/>
        <v>0</v>
      </c>
      <c r="W332" s="83">
        <f t="shared" si="162"/>
        <v>0</v>
      </c>
      <c r="X332" s="83">
        <f t="shared" si="162"/>
        <v>0</v>
      </c>
      <c r="Y332" s="83">
        <f t="shared" si="162"/>
        <v>0</v>
      </c>
      <c r="Z332" s="83">
        <f t="shared" si="162"/>
        <v>0</v>
      </c>
      <c r="AA332" s="83">
        <f t="shared" si="162"/>
        <v>0</v>
      </c>
      <c r="AB332" s="83">
        <f t="shared" si="162"/>
        <v>0</v>
      </c>
      <c r="AC332" s="83">
        <f t="shared" si="162"/>
        <v>0</v>
      </c>
      <c r="AD332" s="83">
        <f t="shared" si="162"/>
        <v>0</v>
      </c>
      <c r="AE332" s="83">
        <f t="shared" si="163"/>
        <v>0</v>
      </c>
      <c r="AF332" s="83"/>
      <c r="AH332" s="83"/>
      <c r="AI332" s="83"/>
      <c r="BB332" s="101">
        <f t="shared" si="128"/>
        <v>0</v>
      </c>
      <c r="BD332" s="112">
        <f t="shared" si="164"/>
        <v>0</v>
      </c>
      <c r="BE332" s="136">
        <f t="shared" si="165"/>
        <v>0</v>
      </c>
      <c r="BF332" s="137">
        <f t="shared" si="166"/>
        <v>0</v>
      </c>
      <c r="BG332" s="113">
        <f t="shared" si="167"/>
        <v>0</v>
      </c>
    </row>
    <row r="333" spans="1:59" s="62" customFormat="1" outlineLevel="1" x14ac:dyDescent="0.25">
      <c r="A333" s="62" t="str">
        <f t="shared" si="159"/>
        <v>MURREYSROLLOFFROHAUL30CO</v>
      </c>
      <c r="B333" s="81" t="s">
        <v>1141</v>
      </c>
      <c r="C333" s="81" t="s">
        <v>1142</v>
      </c>
      <c r="D333" s="82">
        <v>111.28</v>
      </c>
      <c r="E333" s="82">
        <v>111.28</v>
      </c>
      <c r="F333" s="83">
        <v>0</v>
      </c>
      <c r="G333" s="83">
        <v>0</v>
      </c>
      <c r="H333" s="83">
        <v>0</v>
      </c>
      <c r="I333" s="83">
        <v>0</v>
      </c>
      <c r="J333" s="83">
        <v>0</v>
      </c>
      <c r="K333" s="83">
        <v>0</v>
      </c>
      <c r="L333" s="83">
        <v>0</v>
      </c>
      <c r="M333" s="83">
        <v>0</v>
      </c>
      <c r="N333" s="83">
        <v>0</v>
      </c>
      <c r="O333" s="83">
        <v>0</v>
      </c>
      <c r="P333" s="83">
        <v>0</v>
      </c>
      <c r="Q333" s="83">
        <v>0</v>
      </c>
      <c r="R333" s="116">
        <f t="shared" si="160"/>
        <v>0</v>
      </c>
      <c r="S333" s="83">
        <f t="shared" si="161"/>
        <v>0</v>
      </c>
      <c r="T333" s="83">
        <f t="shared" si="161"/>
        <v>0</v>
      </c>
      <c r="U333" s="83">
        <f t="shared" si="162"/>
        <v>0</v>
      </c>
      <c r="V333" s="83">
        <f t="shared" si="162"/>
        <v>0</v>
      </c>
      <c r="W333" s="83">
        <f t="shared" si="162"/>
        <v>0</v>
      </c>
      <c r="X333" s="83">
        <f t="shared" si="162"/>
        <v>0</v>
      </c>
      <c r="Y333" s="83">
        <f t="shared" si="162"/>
        <v>0</v>
      </c>
      <c r="Z333" s="83">
        <f t="shared" si="162"/>
        <v>0</v>
      </c>
      <c r="AA333" s="83">
        <f t="shared" si="162"/>
        <v>0</v>
      </c>
      <c r="AB333" s="83">
        <f t="shared" si="162"/>
        <v>0</v>
      </c>
      <c r="AC333" s="83">
        <f t="shared" si="162"/>
        <v>0</v>
      </c>
      <c r="AD333" s="83">
        <f t="shared" si="162"/>
        <v>0</v>
      </c>
      <c r="AE333" s="83">
        <f t="shared" si="163"/>
        <v>0</v>
      </c>
      <c r="AF333" s="83"/>
      <c r="AH333" s="83"/>
      <c r="AI333" s="83"/>
      <c r="BB333" s="101">
        <f t="shared" si="128"/>
        <v>0</v>
      </c>
      <c r="BD333" s="112">
        <f t="shared" si="164"/>
        <v>111.8</v>
      </c>
      <c r="BE333" s="136">
        <f t="shared" si="165"/>
        <v>0</v>
      </c>
      <c r="BF333" s="137">
        <f t="shared" si="166"/>
        <v>0</v>
      </c>
      <c r="BG333" s="113">
        <f t="shared" si="167"/>
        <v>0</v>
      </c>
    </row>
    <row r="334" spans="1:59" s="62" customFormat="1" outlineLevel="1" x14ac:dyDescent="0.25">
      <c r="A334" s="62" t="str">
        <f t="shared" si="159"/>
        <v>MURREYSROLLOFFROHAUL30T</v>
      </c>
      <c r="B334" s="81" t="s">
        <v>1143</v>
      </c>
      <c r="C334" s="81" t="s">
        <v>1144</v>
      </c>
      <c r="D334" s="82">
        <v>126.78</v>
      </c>
      <c r="E334" s="82">
        <v>126.78</v>
      </c>
      <c r="F334" s="83">
        <v>10269.18</v>
      </c>
      <c r="G334" s="83">
        <v>5831.88</v>
      </c>
      <c r="H334" s="83">
        <v>6212.22</v>
      </c>
      <c r="I334" s="83">
        <v>5451.54</v>
      </c>
      <c r="J334" s="83">
        <v>3803.4</v>
      </c>
      <c r="K334" s="83">
        <v>6339</v>
      </c>
      <c r="L334" s="83">
        <v>4944.42</v>
      </c>
      <c r="M334" s="83">
        <v>5844.48</v>
      </c>
      <c r="N334" s="83">
        <v>4576.68</v>
      </c>
      <c r="O334" s="83">
        <v>3051.12</v>
      </c>
      <c r="P334" s="83">
        <v>3051.12</v>
      </c>
      <c r="Q334" s="83">
        <v>2796.8599999999997</v>
      </c>
      <c r="R334" s="116">
        <f t="shared" si="160"/>
        <v>62171.9</v>
      </c>
      <c r="S334" s="83">
        <f t="shared" si="161"/>
        <v>81</v>
      </c>
      <c r="T334" s="83">
        <f t="shared" si="161"/>
        <v>46</v>
      </c>
      <c r="U334" s="83">
        <f t="shared" si="162"/>
        <v>49</v>
      </c>
      <c r="V334" s="83">
        <f t="shared" si="162"/>
        <v>43</v>
      </c>
      <c r="W334" s="83">
        <f t="shared" si="162"/>
        <v>30</v>
      </c>
      <c r="X334" s="83">
        <f t="shared" si="162"/>
        <v>50</v>
      </c>
      <c r="Y334" s="83">
        <f t="shared" si="162"/>
        <v>39</v>
      </c>
      <c r="Z334" s="83">
        <f t="shared" si="162"/>
        <v>46.099384761003307</v>
      </c>
      <c r="AA334" s="83">
        <f t="shared" si="162"/>
        <v>36.099384761003314</v>
      </c>
      <c r="AB334" s="83">
        <f t="shared" si="162"/>
        <v>24.066256507335542</v>
      </c>
      <c r="AC334" s="83">
        <f t="shared" si="162"/>
        <v>24.066256507335542</v>
      </c>
      <c r="AD334" s="83">
        <f t="shared" si="162"/>
        <v>22.060735131724243</v>
      </c>
      <c r="AE334" s="83">
        <f t="shared" si="163"/>
        <v>40.866001472366825</v>
      </c>
      <c r="AF334" s="83"/>
      <c r="AH334" s="83"/>
      <c r="AI334" s="83"/>
      <c r="BB334" s="101">
        <f t="shared" si="128"/>
        <v>62171.899999999994</v>
      </c>
      <c r="BD334" s="112">
        <f t="shared" si="164"/>
        <v>127.37</v>
      </c>
      <c r="BE334" s="136">
        <f t="shared" si="165"/>
        <v>62461.231290424359</v>
      </c>
      <c r="BF334" s="137">
        <f t="shared" si="166"/>
        <v>289.33129042436485</v>
      </c>
      <c r="BG334" s="113">
        <f t="shared" si="167"/>
        <v>4.6537308723774706E-3</v>
      </c>
    </row>
    <row r="335" spans="1:59" s="62" customFormat="1" outlineLevel="1" x14ac:dyDescent="0.25">
      <c r="A335" s="62" t="str">
        <f t="shared" si="159"/>
        <v>MURREYSROLLOFFROHAUL40</v>
      </c>
      <c r="B335" s="81" t="s">
        <v>1145</v>
      </c>
      <c r="C335" s="81" t="s">
        <v>1146</v>
      </c>
      <c r="D335" s="82">
        <v>134.54</v>
      </c>
      <c r="E335" s="82">
        <v>134.54</v>
      </c>
      <c r="F335" s="83">
        <v>5650.68</v>
      </c>
      <c r="G335" s="83">
        <v>4843.4400000000005</v>
      </c>
      <c r="H335" s="83">
        <v>5112.5200000000004</v>
      </c>
      <c r="I335" s="83">
        <v>3363.5</v>
      </c>
      <c r="J335" s="83">
        <v>4439.82</v>
      </c>
      <c r="K335" s="83">
        <v>4305.28</v>
      </c>
      <c r="L335" s="83">
        <v>3094.42</v>
      </c>
      <c r="M335" s="83">
        <v>3505.44</v>
      </c>
      <c r="N335" s="83">
        <v>4856.76</v>
      </c>
      <c r="O335" s="83">
        <v>5261.49</v>
      </c>
      <c r="P335" s="83">
        <v>5126.58</v>
      </c>
      <c r="Q335" s="83">
        <v>5396.4000000000005</v>
      </c>
      <c r="R335" s="116">
        <f t="shared" si="160"/>
        <v>54956.33</v>
      </c>
      <c r="S335" s="83">
        <f t="shared" si="161"/>
        <v>42.000000000000007</v>
      </c>
      <c r="T335" s="83">
        <f t="shared" si="161"/>
        <v>36.000000000000007</v>
      </c>
      <c r="U335" s="83">
        <f t="shared" si="162"/>
        <v>38.000000000000007</v>
      </c>
      <c r="V335" s="83">
        <f t="shared" si="162"/>
        <v>25</v>
      </c>
      <c r="W335" s="83">
        <f t="shared" si="162"/>
        <v>33</v>
      </c>
      <c r="X335" s="83">
        <f t="shared" si="162"/>
        <v>32</v>
      </c>
      <c r="Y335" s="83">
        <f t="shared" si="162"/>
        <v>23.000000000000004</v>
      </c>
      <c r="Z335" s="83">
        <f t="shared" si="162"/>
        <v>26.055002229820129</v>
      </c>
      <c r="AA335" s="83">
        <f t="shared" si="162"/>
        <v>36.099004013676236</v>
      </c>
      <c r="AB335" s="83">
        <f t="shared" si="162"/>
        <v>39.107254348149247</v>
      </c>
      <c r="AC335" s="83">
        <f t="shared" si="162"/>
        <v>38.104504236658244</v>
      </c>
      <c r="AD335" s="83">
        <f t="shared" si="162"/>
        <v>40.110004459640265</v>
      </c>
      <c r="AE335" s="83">
        <f t="shared" si="163"/>
        <v>34.039647440662016</v>
      </c>
      <c r="AF335" s="83"/>
      <c r="AH335" s="83"/>
      <c r="AI335" s="83"/>
      <c r="BB335" s="101">
        <f t="shared" si="128"/>
        <v>54956.33</v>
      </c>
      <c r="BD335" s="112">
        <f t="shared" si="164"/>
        <v>135.16999999999999</v>
      </c>
      <c r="BE335" s="136">
        <f t="shared" si="165"/>
        <v>55213.669734651412</v>
      </c>
      <c r="BF335" s="137">
        <f t="shared" si="166"/>
        <v>257.33973465141025</v>
      </c>
      <c r="BG335" s="113">
        <f t="shared" si="167"/>
        <v>4.6826222684704429E-3</v>
      </c>
    </row>
    <row r="336" spans="1:59" s="62" customFormat="1" outlineLevel="1" x14ac:dyDescent="0.25">
      <c r="A336" s="62" t="str">
        <f t="shared" si="159"/>
        <v>MURREYSROLLOFFROHAUL40A</v>
      </c>
      <c r="B336" s="81" t="s">
        <v>1147</v>
      </c>
      <c r="C336" s="81" t="s">
        <v>1148</v>
      </c>
      <c r="D336" s="82">
        <v>124.76</v>
      </c>
      <c r="E336" s="82">
        <v>124.76</v>
      </c>
      <c r="F336" s="83">
        <v>0</v>
      </c>
      <c r="G336" s="83">
        <v>0</v>
      </c>
      <c r="H336" s="83">
        <v>0</v>
      </c>
      <c r="I336" s="83">
        <v>0</v>
      </c>
      <c r="J336" s="83">
        <v>0</v>
      </c>
      <c r="K336" s="83">
        <v>0</v>
      </c>
      <c r="L336" s="83">
        <v>0</v>
      </c>
      <c r="M336" s="83">
        <v>0</v>
      </c>
      <c r="N336" s="83">
        <v>0</v>
      </c>
      <c r="O336" s="83">
        <v>0</v>
      </c>
      <c r="P336" s="83">
        <v>0</v>
      </c>
      <c r="Q336" s="83">
        <v>0</v>
      </c>
      <c r="R336" s="116">
        <f t="shared" si="160"/>
        <v>0</v>
      </c>
      <c r="S336" s="83">
        <f t="shared" si="161"/>
        <v>0</v>
      </c>
      <c r="T336" s="83">
        <f t="shared" si="161"/>
        <v>0</v>
      </c>
      <c r="U336" s="83">
        <f t="shared" si="162"/>
        <v>0</v>
      </c>
      <c r="V336" s="83">
        <f t="shared" si="162"/>
        <v>0</v>
      </c>
      <c r="W336" s="83">
        <f t="shared" si="162"/>
        <v>0</v>
      </c>
      <c r="X336" s="83">
        <f t="shared" si="162"/>
        <v>0</v>
      </c>
      <c r="Y336" s="83">
        <f t="shared" si="162"/>
        <v>0</v>
      </c>
      <c r="Z336" s="83">
        <f t="shared" si="162"/>
        <v>0</v>
      </c>
      <c r="AA336" s="83">
        <f t="shared" si="162"/>
        <v>0</v>
      </c>
      <c r="AB336" s="83">
        <f t="shared" si="162"/>
        <v>0</v>
      </c>
      <c r="AC336" s="83">
        <f t="shared" si="162"/>
        <v>0</v>
      </c>
      <c r="AD336" s="83">
        <f t="shared" si="162"/>
        <v>0</v>
      </c>
      <c r="AE336" s="83">
        <f t="shared" si="163"/>
        <v>0</v>
      </c>
      <c r="AF336" s="83"/>
      <c r="AH336" s="83"/>
      <c r="AI336" s="83"/>
      <c r="BB336" s="101">
        <f t="shared" si="128"/>
        <v>0</v>
      </c>
      <c r="BD336" s="112">
        <f t="shared" si="164"/>
        <v>125.34</v>
      </c>
      <c r="BE336" s="136">
        <f t="shared" si="165"/>
        <v>0</v>
      </c>
      <c r="BF336" s="137">
        <f t="shared" si="166"/>
        <v>0</v>
      </c>
      <c r="BG336" s="113">
        <f t="shared" si="167"/>
        <v>0</v>
      </c>
    </row>
    <row r="337" spans="1:59" s="62" customFormat="1" outlineLevel="1" x14ac:dyDescent="0.25">
      <c r="A337" s="62" t="str">
        <f t="shared" si="159"/>
        <v>MURREYSROLLOFFROHAUL40T</v>
      </c>
      <c r="B337" s="81" t="s">
        <v>1149</v>
      </c>
      <c r="C337" s="81" t="s">
        <v>1150</v>
      </c>
      <c r="D337" s="82">
        <v>146.18</v>
      </c>
      <c r="E337" s="82">
        <v>146.18</v>
      </c>
      <c r="F337" s="83">
        <v>146.18</v>
      </c>
      <c r="G337" s="83">
        <v>0</v>
      </c>
      <c r="H337" s="83">
        <v>0</v>
      </c>
      <c r="I337" s="83">
        <v>0</v>
      </c>
      <c r="J337" s="83">
        <v>0</v>
      </c>
      <c r="K337" s="83">
        <v>292.36</v>
      </c>
      <c r="L337" s="83">
        <v>584.72</v>
      </c>
      <c r="M337" s="83">
        <v>585.95000000000005</v>
      </c>
      <c r="N337" s="83">
        <v>0</v>
      </c>
      <c r="O337" s="83">
        <v>0</v>
      </c>
      <c r="P337" s="83">
        <v>0</v>
      </c>
      <c r="Q337" s="83">
        <v>0</v>
      </c>
      <c r="R337" s="116">
        <f t="shared" si="160"/>
        <v>1609.21</v>
      </c>
      <c r="S337" s="83">
        <f t="shared" si="161"/>
        <v>1</v>
      </c>
      <c r="T337" s="83">
        <f t="shared" si="161"/>
        <v>0</v>
      </c>
      <c r="U337" s="83">
        <f t="shared" si="162"/>
        <v>0</v>
      </c>
      <c r="V337" s="83">
        <f t="shared" si="162"/>
        <v>0</v>
      </c>
      <c r="W337" s="83">
        <f t="shared" si="162"/>
        <v>0</v>
      </c>
      <c r="X337" s="83">
        <f t="shared" si="162"/>
        <v>2</v>
      </c>
      <c r="Y337" s="83">
        <f t="shared" si="162"/>
        <v>4</v>
      </c>
      <c r="Z337" s="83">
        <f t="shared" si="162"/>
        <v>4.0084142837597483</v>
      </c>
      <c r="AA337" s="83">
        <f t="shared" si="162"/>
        <v>0</v>
      </c>
      <c r="AB337" s="83">
        <f t="shared" si="162"/>
        <v>0</v>
      </c>
      <c r="AC337" s="83">
        <f t="shared" si="162"/>
        <v>0</v>
      </c>
      <c r="AD337" s="83">
        <f t="shared" si="162"/>
        <v>0</v>
      </c>
      <c r="AE337" s="83">
        <f t="shared" si="163"/>
        <v>0.91736785697997902</v>
      </c>
      <c r="AF337" s="83"/>
      <c r="AH337" s="83"/>
      <c r="AI337" s="83"/>
      <c r="BB337" s="101">
        <f t="shared" si="128"/>
        <v>1609.21</v>
      </c>
      <c r="BD337" s="112">
        <f t="shared" si="164"/>
        <v>146.86000000000001</v>
      </c>
      <c r="BE337" s="136">
        <f t="shared" si="165"/>
        <v>1616.6957217129568</v>
      </c>
      <c r="BF337" s="137">
        <f t="shared" si="166"/>
        <v>7.4857217129567744</v>
      </c>
      <c r="BG337" s="113">
        <f t="shared" si="167"/>
        <v>4.6517991517308335E-3</v>
      </c>
    </row>
    <row r="338" spans="1:59" s="62" customFormat="1" outlineLevel="1" x14ac:dyDescent="0.25">
      <c r="A338" s="62" t="str">
        <f t="shared" si="159"/>
        <v>MURREYSROLLOFFCPHAUL10</v>
      </c>
      <c r="B338" s="81" t="s">
        <v>1151</v>
      </c>
      <c r="C338" s="81" t="s">
        <v>1152</v>
      </c>
      <c r="D338" s="82">
        <v>135.85</v>
      </c>
      <c r="E338" s="82">
        <v>135.85</v>
      </c>
      <c r="F338" s="83">
        <v>1494.35</v>
      </c>
      <c r="G338" s="83">
        <v>1358.5</v>
      </c>
      <c r="H338" s="83">
        <v>1222.6500000000001</v>
      </c>
      <c r="I338" s="83">
        <v>679.25</v>
      </c>
      <c r="J338" s="83">
        <v>543.4</v>
      </c>
      <c r="K338" s="83">
        <v>543.4</v>
      </c>
      <c r="L338" s="83">
        <v>407.55</v>
      </c>
      <c r="M338" s="83">
        <v>272.08</v>
      </c>
      <c r="N338" s="83">
        <v>544.91999999999996</v>
      </c>
      <c r="O338" s="83">
        <v>-272.45999999999998</v>
      </c>
      <c r="P338" s="83">
        <v>136.22999999999999</v>
      </c>
      <c r="Q338" s="83">
        <v>272.45999999999998</v>
      </c>
      <c r="R338" s="116">
        <f t="shared" si="160"/>
        <v>7202.329999999999</v>
      </c>
      <c r="S338" s="83">
        <f t="shared" si="161"/>
        <v>11</v>
      </c>
      <c r="T338" s="83">
        <f t="shared" si="161"/>
        <v>10</v>
      </c>
      <c r="U338" s="83">
        <f t="shared" si="162"/>
        <v>9.0000000000000018</v>
      </c>
      <c r="V338" s="83">
        <f t="shared" si="162"/>
        <v>5</v>
      </c>
      <c r="W338" s="83">
        <f t="shared" si="162"/>
        <v>4</v>
      </c>
      <c r="X338" s="83">
        <f t="shared" si="162"/>
        <v>4</v>
      </c>
      <c r="Y338" s="83">
        <f t="shared" si="162"/>
        <v>3</v>
      </c>
      <c r="Z338" s="83">
        <f t="shared" si="162"/>
        <v>2.0027972027972027</v>
      </c>
      <c r="AA338" s="83">
        <f t="shared" si="162"/>
        <v>4.011188811188811</v>
      </c>
      <c r="AB338" s="83">
        <f t="shared" si="162"/>
        <v>-2.0055944055944055</v>
      </c>
      <c r="AC338" s="83">
        <f t="shared" si="162"/>
        <v>1.0027972027972027</v>
      </c>
      <c r="AD338" s="83">
        <f t="shared" si="162"/>
        <v>2.0055944055944055</v>
      </c>
      <c r="AE338" s="83">
        <f t="shared" si="163"/>
        <v>4.4180652680652681</v>
      </c>
      <c r="AF338" s="83"/>
      <c r="AH338" s="83"/>
      <c r="AI338" s="83"/>
      <c r="BB338" s="101">
        <f t="shared" si="128"/>
        <v>7202.33</v>
      </c>
      <c r="BD338" s="112">
        <f t="shared" si="164"/>
        <v>136.49</v>
      </c>
      <c r="BE338" s="136">
        <f t="shared" si="165"/>
        <v>7236.2607412587422</v>
      </c>
      <c r="BF338" s="137">
        <f t="shared" si="166"/>
        <v>33.930741258742273</v>
      </c>
      <c r="BG338" s="113">
        <f t="shared" si="167"/>
        <v>4.7110783952890624E-3</v>
      </c>
    </row>
    <row r="339" spans="1:59" s="62" customFormat="1" outlineLevel="1" x14ac:dyDescent="0.25">
      <c r="A339" s="62" t="str">
        <f t="shared" si="159"/>
        <v>MURREYSROLLOFFCPHAUL15</v>
      </c>
      <c r="B339" s="81" t="s">
        <v>1153</v>
      </c>
      <c r="C339" s="81" t="s">
        <v>1154</v>
      </c>
      <c r="D339" s="82">
        <v>140.37</v>
      </c>
      <c r="E339" s="82">
        <v>140.37</v>
      </c>
      <c r="F339" s="83">
        <v>280.74</v>
      </c>
      <c r="G339" s="83">
        <v>0</v>
      </c>
      <c r="H339" s="83">
        <v>280.74</v>
      </c>
      <c r="I339" s="83">
        <v>140.37</v>
      </c>
      <c r="J339" s="83">
        <v>140.37</v>
      </c>
      <c r="K339" s="83">
        <v>280.74</v>
      </c>
      <c r="L339" s="83">
        <v>140.37</v>
      </c>
      <c r="M339" s="83">
        <v>140.76</v>
      </c>
      <c r="N339" s="83">
        <v>140.76</v>
      </c>
      <c r="O339" s="83">
        <v>140.76</v>
      </c>
      <c r="P339" s="83">
        <v>140.76</v>
      </c>
      <c r="Q339" s="83">
        <v>422.28</v>
      </c>
      <c r="R339" s="116">
        <f t="shared" si="160"/>
        <v>2248.6499999999996</v>
      </c>
      <c r="S339" s="83">
        <f t="shared" si="161"/>
        <v>2</v>
      </c>
      <c r="T339" s="83">
        <f t="shared" si="161"/>
        <v>0</v>
      </c>
      <c r="U339" s="83">
        <f t="shared" si="162"/>
        <v>2</v>
      </c>
      <c r="V339" s="83">
        <f t="shared" si="162"/>
        <v>1</v>
      </c>
      <c r="W339" s="83">
        <f t="shared" si="162"/>
        <v>1</v>
      </c>
      <c r="X339" s="83">
        <f t="shared" si="162"/>
        <v>2</v>
      </c>
      <c r="Y339" s="83">
        <f t="shared" si="162"/>
        <v>1</v>
      </c>
      <c r="Z339" s="83">
        <f t="shared" si="162"/>
        <v>1.0027783714468903</v>
      </c>
      <c r="AA339" s="83">
        <f t="shared" si="162"/>
        <v>1.0027783714468903</v>
      </c>
      <c r="AB339" s="83">
        <f t="shared" si="162"/>
        <v>1.0027783714468903</v>
      </c>
      <c r="AC339" s="83">
        <f t="shared" si="162"/>
        <v>1.0027783714468903</v>
      </c>
      <c r="AD339" s="83">
        <f t="shared" si="162"/>
        <v>3.0083351143406709</v>
      </c>
      <c r="AE339" s="83">
        <f t="shared" si="163"/>
        <v>1.334954050010686</v>
      </c>
      <c r="AF339" s="83"/>
      <c r="AH339" s="83"/>
      <c r="AI339" s="83"/>
      <c r="BB339" s="101">
        <f t="shared" si="128"/>
        <v>2248.6499999999996</v>
      </c>
      <c r="BD339" s="112">
        <f t="shared" si="164"/>
        <v>141.03</v>
      </c>
      <c r="BE339" s="136">
        <f t="shared" si="165"/>
        <v>2259.2228360760846</v>
      </c>
      <c r="BF339" s="137">
        <f t="shared" si="166"/>
        <v>10.572836076084968</v>
      </c>
      <c r="BG339" s="113">
        <f t="shared" si="167"/>
        <v>4.7018593716607613E-3</v>
      </c>
    </row>
    <row r="340" spans="1:59" s="62" customFormat="1" outlineLevel="1" x14ac:dyDescent="0.25">
      <c r="A340" s="62" t="str">
        <f t="shared" si="159"/>
        <v>MURREYSROLLOFFCPHAUL20</v>
      </c>
      <c r="B340" s="81" t="s">
        <v>1155</v>
      </c>
      <c r="C340" s="81" t="s">
        <v>1156</v>
      </c>
      <c r="D340" s="82">
        <v>140.37</v>
      </c>
      <c r="E340" s="82">
        <v>140.37</v>
      </c>
      <c r="F340" s="83">
        <v>5474.43</v>
      </c>
      <c r="G340" s="83">
        <v>5053.32</v>
      </c>
      <c r="H340" s="83">
        <v>5193.6899999999996</v>
      </c>
      <c r="I340" s="83">
        <v>5334.0599999999995</v>
      </c>
      <c r="J340" s="83">
        <v>4070.7300000000005</v>
      </c>
      <c r="K340" s="83">
        <v>4772.58</v>
      </c>
      <c r="L340" s="83">
        <v>5193.6899999999996</v>
      </c>
      <c r="M340" s="83">
        <v>4782.72</v>
      </c>
      <c r="N340" s="83">
        <v>6052.68</v>
      </c>
      <c r="O340" s="83">
        <v>4926.5999999999995</v>
      </c>
      <c r="P340" s="83">
        <v>5911.92</v>
      </c>
      <c r="Q340" s="83">
        <v>5630.4</v>
      </c>
      <c r="R340" s="116">
        <f t="shared" si="160"/>
        <v>62396.82</v>
      </c>
      <c r="S340" s="83">
        <f t="shared" si="161"/>
        <v>39</v>
      </c>
      <c r="T340" s="83">
        <f t="shared" si="161"/>
        <v>36</v>
      </c>
      <c r="U340" s="83">
        <f t="shared" ref="U340:AD365" si="168">+IFERROR(H340/$E340,0)</f>
        <v>36.999999999999993</v>
      </c>
      <c r="V340" s="83">
        <f t="shared" si="168"/>
        <v>37.999999999999993</v>
      </c>
      <c r="W340" s="83">
        <f t="shared" si="168"/>
        <v>29.000000000000004</v>
      </c>
      <c r="X340" s="83">
        <f t="shared" si="168"/>
        <v>34</v>
      </c>
      <c r="Y340" s="83">
        <f t="shared" si="168"/>
        <v>36.999999999999993</v>
      </c>
      <c r="Z340" s="83">
        <f t="shared" si="168"/>
        <v>34.072237657619148</v>
      </c>
      <c r="AA340" s="83">
        <f t="shared" si="168"/>
        <v>43.119469972216287</v>
      </c>
      <c r="AB340" s="83">
        <f t="shared" si="168"/>
        <v>35.097243000641157</v>
      </c>
      <c r="AC340" s="83">
        <f t="shared" si="168"/>
        <v>42.116691600769393</v>
      </c>
      <c r="AD340" s="83">
        <f t="shared" si="168"/>
        <v>40.111134857875612</v>
      </c>
      <c r="AE340" s="83">
        <f t="shared" si="163"/>
        <v>37.043064757426805</v>
      </c>
      <c r="AF340" s="83"/>
      <c r="AH340" s="83"/>
      <c r="AI340" s="83"/>
      <c r="BB340" s="101">
        <f t="shared" si="128"/>
        <v>62396.820000000007</v>
      </c>
      <c r="BD340" s="112">
        <f t="shared" si="164"/>
        <v>141.03</v>
      </c>
      <c r="BE340" s="136">
        <f t="shared" si="165"/>
        <v>62690.20107287883</v>
      </c>
      <c r="BF340" s="137">
        <f t="shared" si="166"/>
        <v>293.38107287882303</v>
      </c>
      <c r="BG340" s="113">
        <f t="shared" si="167"/>
        <v>4.7018593716606554E-3</v>
      </c>
    </row>
    <row r="341" spans="1:59" s="62" customFormat="1" outlineLevel="1" x14ac:dyDescent="0.25">
      <c r="A341" s="62" t="str">
        <f t="shared" si="159"/>
        <v>MURREYSROLLOFFCPHAUL25</v>
      </c>
      <c r="B341" s="81" t="s">
        <v>1157</v>
      </c>
      <c r="C341" s="81" t="s">
        <v>1158</v>
      </c>
      <c r="D341" s="82">
        <v>145.59</v>
      </c>
      <c r="E341" s="82">
        <v>145.59</v>
      </c>
      <c r="F341" s="83">
        <v>8007.45</v>
      </c>
      <c r="G341" s="83">
        <v>7861.8600000000006</v>
      </c>
      <c r="H341" s="83">
        <v>9754.5299999999988</v>
      </c>
      <c r="I341" s="83">
        <v>7861.8600000000006</v>
      </c>
      <c r="J341" s="83">
        <v>7570.68</v>
      </c>
      <c r="K341" s="83">
        <v>8880.99</v>
      </c>
      <c r="L341" s="83">
        <v>8444.2199999999993</v>
      </c>
      <c r="M341" s="83">
        <v>7732.26</v>
      </c>
      <c r="N341" s="83">
        <v>8468</v>
      </c>
      <c r="O341" s="83">
        <v>8760</v>
      </c>
      <c r="P341" s="83">
        <v>7738</v>
      </c>
      <c r="Q341" s="83">
        <v>9782</v>
      </c>
      <c r="R341" s="116">
        <f t="shared" si="160"/>
        <v>100861.84999999999</v>
      </c>
      <c r="S341" s="83">
        <f t="shared" si="161"/>
        <v>55</v>
      </c>
      <c r="T341" s="83">
        <f t="shared" si="161"/>
        <v>54</v>
      </c>
      <c r="U341" s="83">
        <f t="shared" si="168"/>
        <v>66.999999999999986</v>
      </c>
      <c r="V341" s="83">
        <f t="shared" si="168"/>
        <v>54</v>
      </c>
      <c r="W341" s="83">
        <f t="shared" si="168"/>
        <v>52</v>
      </c>
      <c r="X341" s="83">
        <f t="shared" si="168"/>
        <v>61</v>
      </c>
      <c r="Y341" s="83">
        <f t="shared" si="168"/>
        <v>57.999999999999993</v>
      </c>
      <c r="Z341" s="83">
        <f t="shared" si="168"/>
        <v>53.109828971770042</v>
      </c>
      <c r="AA341" s="83">
        <f t="shared" si="168"/>
        <v>58.163335393914416</v>
      </c>
      <c r="AB341" s="83">
        <f t="shared" si="168"/>
        <v>60.168967648876979</v>
      </c>
      <c r="AC341" s="83">
        <f t="shared" si="168"/>
        <v>53.149254756508</v>
      </c>
      <c r="AD341" s="83">
        <f t="shared" si="168"/>
        <v>67.188680541245958</v>
      </c>
      <c r="AE341" s="83">
        <f t="shared" si="163"/>
        <v>57.731672276026281</v>
      </c>
      <c r="AF341" s="83"/>
      <c r="AH341" s="83"/>
      <c r="AI341" s="83"/>
      <c r="BB341" s="101">
        <f t="shared" si="128"/>
        <v>100861.85</v>
      </c>
      <c r="BD341" s="112">
        <f t="shared" si="164"/>
        <v>146.27000000000001</v>
      </c>
      <c r="BE341" s="136">
        <f t="shared" si="165"/>
        <v>101332.94044577237</v>
      </c>
      <c r="BF341" s="137">
        <f t="shared" si="166"/>
        <v>471.09044577236637</v>
      </c>
      <c r="BG341" s="113">
        <f t="shared" si="167"/>
        <v>4.6706504567620597E-3</v>
      </c>
    </row>
    <row r="342" spans="1:59" s="62" customFormat="1" outlineLevel="1" x14ac:dyDescent="0.25">
      <c r="A342" s="62" t="str">
        <f t="shared" si="159"/>
        <v>MURREYSROLLOFFCPHAUL30</v>
      </c>
      <c r="B342" s="81" t="s">
        <v>1159</v>
      </c>
      <c r="C342" s="81" t="s">
        <v>1160</v>
      </c>
      <c r="D342" s="82">
        <v>154.61000000000001</v>
      </c>
      <c r="E342" s="82">
        <v>154.61000000000001</v>
      </c>
      <c r="F342" s="83">
        <v>21645.4</v>
      </c>
      <c r="G342" s="83">
        <v>19480.86</v>
      </c>
      <c r="H342" s="83">
        <v>19944.690000000002</v>
      </c>
      <c r="I342" s="83">
        <v>17934.760000000002</v>
      </c>
      <c r="J342" s="83">
        <v>17470.93</v>
      </c>
      <c r="K342" s="83">
        <v>17161.71</v>
      </c>
      <c r="L342" s="83">
        <v>18243.98</v>
      </c>
      <c r="M342" s="83">
        <v>16269.310000000001</v>
      </c>
      <c r="N342" s="83">
        <v>17674.559999999998</v>
      </c>
      <c r="O342" s="83">
        <v>17674.559999999998</v>
      </c>
      <c r="P342" s="83">
        <v>17209.439999999999</v>
      </c>
      <c r="Q342" s="83">
        <v>19069.919999999998</v>
      </c>
      <c r="R342" s="116">
        <f t="shared" si="160"/>
        <v>219780.12</v>
      </c>
      <c r="S342" s="83">
        <f t="shared" si="161"/>
        <v>140</v>
      </c>
      <c r="T342" s="83">
        <f t="shared" si="161"/>
        <v>125.99999999999999</v>
      </c>
      <c r="U342" s="83">
        <f t="shared" si="168"/>
        <v>129</v>
      </c>
      <c r="V342" s="83">
        <f t="shared" si="168"/>
        <v>116</v>
      </c>
      <c r="W342" s="83">
        <f t="shared" si="168"/>
        <v>112.99999999999999</v>
      </c>
      <c r="X342" s="83">
        <f t="shared" si="168"/>
        <v>110.99999999999999</v>
      </c>
      <c r="Y342" s="83">
        <f t="shared" si="168"/>
        <v>117.99999999999999</v>
      </c>
      <c r="Z342" s="83">
        <f t="shared" si="168"/>
        <v>105.22805769355152</v>
      </c>
      <c r="AA342" s="83">
        <f t="shared" si="168"/>
        <v>114.31705581786427</v>
      </c>
      <c r="AB342" s="83">
        <f t="shared" si="168"/>
        <v>114.31705581786427</v>
      </c>
      <c r="AC342" s="83">
        <f t="shared" si="168"/>
        <v>111.30871224370996</v>
      </c>
      <c r="AD342" s="83">
        <f t="shared" si="168"/>
        <v>123.34208654032726</v>
      </c>
      <c r="AE342" s="83">
        <f t="shared" si="163"/>
        <v>118.45941400944311</v>
      </c>
      <c r="AF342" s="83"/>
      <c r="AH342" s="83"/>
      <c r="AI342" s="83"/>
      <c r="BB342" s="101">
        <f t="shared" si="128"/>
        <v>219780.12000000002</v>
      </c>
      <c r="BD342" s="112">
        <f t="shared" si="164"/>
        <v>155.33000000000001</v>
      </c>
      <c r="BE342" s="136">
        <f t="shared" si="165"/>
        <v>220803.60933704159</v>
      </c>
      <c r="BF342" s="137">
        <f t="shared" si="166"/>
        <v>1023.4893370415666</v>
      </c>
      <c r="BG342" s="113">
        <f t="shared" si="167"/>
        <v>4.6568785977620106E-3</v>
      </c>
    </row>
    <row r="343" spans="1:59" s="62" customFormat="1" outlineLevel="1" x14ac:dyDescent="0.25">
      <c r="A343" s="62" t="str">
        <f t="shared" si="159"/>
        <v>MURREYSROLLOFFCPHAUL35</v>
      </c>
      <c r="B343" s="81" t="s">
        <v>1161</v>
      </c>
      <c r="C343" s="81" t="s">
        <v>1162</v>
      </c>
      <c r="D343" s="82">
        <v>159.83000000000001</v>
      </c>
      <c r="E343" s="82">
        <v>159.83000000000001</v>
      </c>
      <c r="F343" s="83">
        <v>1118.81</v>
      </c>
      <c r="G343" s="83">
        <v>958.98</v>
      </c>
      <c r="H343" s="83">
        <v>1118.81</v>
      </c>
      <c r="I343" s="83">
        <v>1118.81</v>
      </c>
      <c r="J343" s="83">
        <v>479.49</v>
      </c>
      <c r="K343" s="83">
        <v>958.98</v>
      </c>
      <c r="L343" s="83">
        <v>799.15000000000009</v>
      </c>
      <c r="M343" s="83">
        <v>1438.92</v>
      </c>
      <c r="N343" s="83">
        <v>2082.7400000000002</v>
      </c>
      <c r="O343" s="83">
        <v>1923.36</v>
      </c>
      <c r="P343" s="83">
        <v>2083.64</v>
      </c>
      <c r="Q343" s="83">
        <v>2243.92</v>
      </c>
      <c r="R343" s="116">
        <f t="shared" si="160"/>
        <v>16325.609999999999</v>
      </c>
      <c r="S343" s="83">
        <f t="shared" si="161"/>
        <v>6.9999999999999991</v>
      </c>
      <c r="T343" s="83">
        <f t="shared" si="161"/>
        <v>6</v>
      </c>
      <c r="U343" s="83">
        <f t="shared" si="168"/>
        <v>6.9999999999999991</v>
      </c>
      <c r="V343" s="83">
        <f t="shared" si="168"/>
        <v>6.9999999999999991</v>
      </c>
      <c r="W343" s="83">
        <f t="shared" si="168"/>
        <v>3</v>
      </c>
      <c r="X343" s="83">
        <f t="shared" si="168"/>
        <v>6</v>
      </c>
      <c r="Y343" s="83">
        <f t="shared" si="168"/>
        <v>5</v>
      </c>
      <c r="Z343" s="83">
        <f t="shared" si="168"/>
        <v>9.0028154914596765</v>
      </c>
      <c r="AA343" s="83">
        <f t="shared" si="168"/>
        <v>13.030970406056435</v>
      </c>
      <c r="AB343" s="83">
        <f t="shared" si="168"/>
        <v>12.033785897516109</v>
      </c>
      <c r="AC343" s="83">
        <f t="shared" si="168"/>
        <v>13.036601388975784</v>
      </c>
      <c r="AD343" s="83">
        <f t="shared" si="168"/>
        <v>14.039416880435462</v>
      </c>
      <c r="AE343" s="83">
        <f t="shared" si="163"/>
        <v>8.5119658387036221</v>
      </c>
      <c r="AF343" s="83"/>
      <c r="AH343" s="83"/>
      <c r="AI343" s="83"/>
      <c r="BB343" s="101">
        <f t="shared" si="128"/>
        <v>16325.61</v>
      </c>
      <c r="BD343" s="112">
        <f t="shared" si="164"/>
        <v>160.58000000000001</v>
      </c>
      <c r="BE343" s="136">
        <f t="shared" si="165"/>
        <v>16402.217692548333</v>
      </c>
      <c r="BF343" s="137">
        <f t="shared" si="166"/>
        <v>76.607692548332125</v>
      </c>
      <c r="BG343" s="113">
        <f t="shared" si="167"/>
        <v>4.6924857661264797E-3</v>
      </c>
    </row>
    <row r="344" spans="1:59" s="62" customFormat="1" outlineLevel="1" x14ac:dyDescent="0.25">
      <c r="A344" s="62" t="str">
        <f t="shared" si="159"/>
        <v>MURREYSROLLOFFCPHAUL40</v>
      </c>
      <c r="B344" s="81" t="s">
        <v>1163</v>
      </c>
      <c r="C344" s="81" t="s">
        <v>1164</v>
      </c>
      <c r="D344" s="82">
        <v>166.24</v>
      </c>
      <c r="E344" s="82">
        <v>166.24</v>
      </c>
      <c r="F344" s="83">
        <v>7979.52</v>
      </c>
      <c r="G344" s="83">
        <v>7979.52</v>
      </c>
      <c r="H344" s="83">
        <v>9808.16</v>
      </c>
      <c r="I344" s="83">
        <v>8312</v>
      </c>
      <c r="J344" s="83">
        <v>7480.8</v>
      </c>
      <c r="K344" s="83">
        <v>9974.4000000000015</v>
      </c>
      <c r="L344" s="83">
        <v>9143.2000000000007</v>
      </c>
      <c r="M344" s="83">
        <v>9828.86</v>
      </c>
      <c r="N344" s="83">
        <v>10168.700000000001</v>
      </c>
      <c r="O344" s="83">
        <v>10002</v>
      </c>
      <c r="P344" s="83">
        <v>10168.699999999999</v>
      </c>
      <c r="Q344" s="83">
        <v>10668.8</v>
      </c>
      <c r="R344" s="116">
        <f t="shared" si="160"/>
        <v>111514.66</v>
      </c>
      <c r="S344" s="83">
        <f t="shared" si="161"/>
        <v>48</v>
      </c>
      <c r="T344" s="83">
        <f t="shared" si="161"/>
        <v>48</v>
      </c>
      <c r="U344" s="83">
        <f t="shared" si="168"/>
        <v>58.999999999999993</v>
      </c>
      <c r="V344" s="83">
        <f t="shared" si="168"/>
        <v>50</v>
      </c>
      <c r="W344" s="83">
        <f t="shared" si="168"/>
        <v>45</v>
      </c>
      <c r="X344" s="83">
        <f t="shared" si="168"/>
        <v>60.000000000000007</v>
      </c>
      <c r="Y344" s="83">
        <f t="shared" si="168"/>
        <v>55</v>
      </c>
      <c r="Z344" s="83">
        <f t="shared" si="168"/>
        <v>59.124518768046201</v>
      </c>
      <c r="AA344" s="83">
        <f t="shared" si="168"/>
        <v>61.168792107795959</v>
      </c>
      <c r="AB344" s="83">
        <f t="shared" si="168"/>
        <v>60.166025024061597</v>
      </c>
      <c r="AC344" s="83">
        <f t="shared" si="168"/>
        <v>61.168792107795944</v>
      </c>
      <c r="AD344" s="83">
        <f t="shared" si="168"/>
        <v>64.177093358999031</v>
      </c>
      <c r="AE344" s="83">
        <f t="shared" si="163"/>
        <v>55.900435113891568</v>
      </c>
      <c r="AF344" s="83"/>
      <c r="AH344" s="83"/>
      <c r="AI344" s="83"/>
      <c r="BB344" s="101">
        <f t="shared" si="128"/>
        <v>111514.66</v>
      </c>
      <c r="BD344" s="112">
        <f t="shared" si="164"/>
        <v>167.02</v>
      </c>
      <c r="BE344" s="136">
        <f t="shared" si="165"/>
        <v>112037.88807266604</v>
      </c>
      <c r="BF344" s="137">
        <f t="shared" si="166"/>
        <v>523.22807266603922</v>
      </c>
      <c r="BG344" s="113">
        <f t="shared" si="167"/>
        <v>4.692011549567018E-3</v>
      </c>
    </row>
    <row r="345" spans="1:59" s="62" customFormat="1" outlineLevel="1" x14ac:dyDescent="0.25">
      <c r="A345" s="62" t="str">
        <f t="shared" si="159"/>
        <v>MURREYSROLLOFFRORENT20D</v>
      </c>
      <c r="B345" s="81" t="s">
        <v>1165</v>
      </c>
      <c r="C345" s="81" t="s">
        <v>1166</v>
      </c>
      <c r="D345" s="82">
        <v>0</v>
      </c>
      <c r="E345" s="82">
        <v>0</v>
      </c>
      <c r="F345" s="83">
        <v>0</v>
      </c>
      <c r="G345" s="83">
        <v>0</v>
      </c>
      <c r="H345" s="83">
        <v>0</v>
      </c>
      <c r="I345" s="83">
        <v>0</v>
      </c>
      <c r="J345" s="83">
        <v>0</v>
      </c>
      <c r="K345" s="83">
        <v>0</v>
      </c>
      <c r="L345" s="83">
        <v>0</v>
      </c>
      <c r="M345" s="83">
        <v>0</v>
      </c>
      <c r="N345" s="83">
        <v>0</v>
      </c>
      <c r="O345" s="83">
        <v>0</v>
      </c>
      <c r="P345" s="83">
        <v>0</v>
      </c>
      <c r="Q345" s="83">
        <v>0</v>
      </c>
      <c r="R345" s="116">
        <f t="shared" si="160"/>
        <v>0</v>
      </c>
      <c r="S345" s="83">
        <f t="shared" si="161"/>
        <v>0</v>
      </c>
      <c r="T345" s="83">
        <f t="shared" si="161"/>
        <v>0</v>
      </c>
      <c r="U345" s="83">
        <f t="shared" si="168"/>
        <v>0</v>
      </c>
      <c r="V345" s="83">
        <f t="shared" si="168"/>
        <v>0</v>
      </c>
      <c r="W345" s="83">
        <f t="shared" si="168"/>
        <v>0</v>
      </c>
      <c r="X345" s="83">
        <f t="shared" si="168"/>
        <v>0</v>
      </c>
      <c r="Y345" s="83">
        <f t="shared" si="168"/>
        <v>0</v>
      </c>
      <c r="Z345" s="83">
        <f t="shared" si="168"/>
        <v>0</v>
      </c>
      <c r="AA345" s="83">
        <f t="shared" si="168"/>
        <v>0</v>
      </c>
      <c r="AB345" s="83">
        <f t="shared" si="168"/>
        <v>0</v>
      </c>
      <c r="AC345" s="83">
        <f t="shared" si="168"/>
        <v>0</v>
      </c>
      <c r="AD345" s="83">
        <f t="shared" si="168"/>
        <v>0</v>
      </c>
      <c r="AE345" s="83">
        <f t="shared" si="163"/>
        <v>0</v>
      </c>
      <c r="AF345" s="83"/>
      <c r="AH345" s="83"/>
      <c r="AI345" s="83"/>
      <c r="BB345" s="101">
        <f t="shared" si="128"/>
        <v>0</v>
      </c>
      <c r="BD345" s="112">
        <f t="shared" si="164"/>
        <v>0</v>
      </c>
      <c r="BE345" s="136">
        <f t="shared" si="165"/>
        <v>0</v>
      </c>
      <c r="BF345" s="137">
        <f t="shared" si="166"/>
        <v>0</v>
      </c>
      <c r="BG345" s="113">
        <f t="shared" si="167"/>
        <v>0</v>
      </c>
    </row>
    <row r="346" spans="1:59" s="62" customFormat="1" outlineLevel="1" x14ac:dyDescent="0.25">
      <c r="A346" s="62" t="str">
        <f t="shared" si="159"/>
        <v>MURREYSROLLOFFRORENT20P</v>
      </c>
      <c r="B346" s="81" t="s">
        <v>1167</v>
      </c>
      <c r="C346" s="81" t="s">
        <v>1168</v>
      </c>
      <c r="D346" s="82">
        <v>90.24</v>
      </c>
      <c r="E346" s="82">
        <v>90.24</v>
      </c>
      <c r="F346" s="83">
        <v>5728.0099999999993</v>
      </c>
      <c r="G346" s="83">
        <v>6081.84</v>
      </c>
      <c r="H346" s="83">
        <v>6219.97</v>
      </c>
      <c r="I346" s="83">
        <v>5882.48</v>
      </c>
      <c r="J346" s="83">
        <v>5751.2999999999993</v>
      </c>
      <c r="K346" s="83">
        <v>5735.1</v>
      </c>
      <c r="L346" s="83">
        <v>5949.25</v>
      </c>
      <c r="M346" s="83">
        <v>6091.8799999999992</v>
      </c>
      <c r="N346" s="83">
        <v>6860.09</v>
      </c>
      <c r="O346" s="83">
        <v>7313.79</v>
      </c>
      <c r="P346" s="83">
        <v>6959.35</v>
      </c>
      <c r="Q346" s="83">
        <v>7253.36</v>
      </c>
      <c r="R346" s="116">
        <f t="shared" si="160"/>
        <v>75826.42</v>
      </c>
      <c r="S346" s="83">
        <f t="shared" si="161"/>
        <v>63.47528812056737</v>
      </c>
      <c r="T346" s="83">
        <f t="shared" si="161"/>
        <v>67.396276595744681</v>
      </c>
      <c r="U346" s="83">
        <f t="shared" si="168"/>
        <v>68.926972517730505</v>
      </c>
      <c r="V346" s="83">
        <f t="shared" si="168"/>
        <v>65.187056737588648</v>
      </c>
      <c r="W346" s="83">
        <f t="shared" si="168"/>
        <v>63.733377659574465</v>
      </c>
      <c r="X346" s="83">
        <f t="shared" si="168"/>
        <v>63.553856382978729</v>
      </c>
      <c r="Y346" s="83">
        <f t="shared" si="168"/>
        <v>65.926972517730505</v>
      </c>
      <c r="Z346" s="83">
        <f t="shared" si="168"/>
        <v>67.507535460992898</v>
      </c>
      <c r="AA346" s="83">
        <f t="shared" si="168"/>
        <v>76.020500886524829</v>
      </c>
      <c r="AB346" s="83">
        <f t="shared" si="168"/>
        <v>81.048204787234042</v>
      </c>
      <c r="AC346" s="83">
        <f t="shared" si="168"/>
        <v>77.120456560283699</v>
      </c>
      <c r="AD346" s="83">
        <f t="shared" si="168"/>
        <v>80.378546099290787</v>
      </c>
      <c r="AE346" s="83">
        <f t="shared" si="163"/>
        <v>70.022920360520104</v>
      </c>
      <c r="AF346" s="83"/>
      <c r="AH346" s="83"/>
      <c r="AI346" s="83"/>
      <c r="BB346" s="101">
        <f t="shared" si="128"/>
        <v>75826.420000000013</v>
      </c>
      <c r="BD346" s="112">
        <f t="shared" si="164"/>
        <v>90.66</v>
      </c>
      <c r="BE346" s="136">
        <f t="shared" si="165"/>
        <v>76179.335518617023</v>
      </c>
      <c r="BF346" s="137">
        <f t="shared" si="166"/>
        <v>352.91551861701009</v>
      </c>
      <c r="BG346" s="113">
        <f t="shared" si="167"/>
        <v>4.6542553191487876E-3</v>
      </c>
    </row>
    <row r="347" spans="1:59" s="62" customFormat="1" outlineLevel="1" x14ac:dyDescent="0.25">
      <c r="A347" s="62" t="str">
        <f t="shared" si="159"/>
        <v>MURREYSROLLOFFRORENT20T</v>
      </c>
      <c r="B347" s="81" t="s">
        <v>1169</v>
      </c>
      <c r="C347" s="81" t="s">
        <v>1170</v>
      </c>
      <c r="D347" s="82">
        <v>153.35</v>
      </c>
      <c r="E347" s="82">
        <v>153.35</v>
      </c>
      <c r="F347" s="83">
        <v>1957.54</v>
      </c>
      <c r="G347" s="83">
        <v>1965.54</v>
      </c>
      <c r="H347" s="83">
        <v>2228.6800000000003</v>
      </c>
      <c r="I347" s="83">
        <v>3332.82</v>
      </c>
      <c r="J347" s="83">
        <v>4881.2</v>
      </c>
      <c r="K347" s="83">
        <v>4452.3000000000011</v>
      </c>
      <c r="L347" s="83">
        <v>3933.5099999999998</v>
      </c>
      <c r="M347" s="83">
        <v>3885.21</v>
      </c>
      <c r="N347" s="83">
        <v>2249.15</v>
      </c>
      <c r="O347" s="83">
        <v>1981.69</v>
      </c>
      <c r="P347" s="83">
        <v>2090.67</v>
      </c>
      <c r="Q347" s="83">
        <v>2087.02</v>
      </c>
      <c r="R347" s="116">
        <f t="shared" si="160"/>
        <v>35045.329999999994</v>
      </c>
      <c r="S347" s="83">
        <f t="shared" si="161"/>
        <v>12.765177698076297</v>
      </c>
      <c r="T347" s="83">
        <f t="shared" si="161"/>
        <v>12.817345940658624</v>
      </c>
      <c r="U347" s="83">
        <f t="shared" si="168"/>
        <v>14.533289859797851</v>
      </c>
      <c r="V347" s="83">
        <f t="shared" si="168"/>
        <v>21.733420280404307</v>
      </c>
      <c r="W347" s="83">
        <f t="shared" si="168"/>
        <v>31.830453211607434</v>
      </c>
      <c r="X347" s="83">
        <f t="shared" si="168"/>
        <v>29.033583306162381</v>
      </c>
      <c r="Y347" s="83">
        <f t="shared" si="168"/>
        <v>25.65053798500163</v>
      </c>
      <c r="Z347" s="83">
        <f t="shared" si="168"/>
        <v>25.335572220410825</v>
      </c>
      <c r="AA347" s="83">
        <f t="shared" si="168"/>
        <v>14.666775350505381</v>
      </c>
      <c r="AB347" s="83">
        <f t="shared" si="168"/>
        <v>12.9226605803717</v>
      </c>
      <c r="AC347" s="83">
        <f t="shared" si="168"/>
        <v>13.633322464949464</v>
      </c>
      <c r="AD347" s="83">
        <f t="shared" si="168"/>
        <v>13.609520704271276</v>
      </c>
      <c r="AE347" s="83">
        <f t="shared" si="163"/>
        <v>19.044304966851431</v>
      </c>
      <c r="AF347" s="83"/>
      <c r="AH347" s="83"/>
      <c r="AI347" s="83"/>
      <c r="BB347" s="101">
        <f t="shared" si="128"/>
        <v>35045.33</v>
      </c>
      <c r="BD347" s="112">
        <f t="shared" si="164"/>
        <v>154.07</v>
      </c>
      <c r="BE347" s="136">
        <f t="shared" si="165"/>
        <v>35209.872794913601</v>
      </c>
      <c r="BF347" s="137">
        <f t="shared" si="166"/>
        <v>164.54279491359921</v>
      </c>
      <c r="BG347" s="113">
        <f t="shared" si="167"/>
        <v>4.6951418324096021E-3</v>
      </c>
    </row>
    <row r="348" spans="1:59" s="62" customFormat="1" outlineLevel="1" x14ac:dyDescent="0.25">
      <c r="A348" s="62" t="str">
        <f t="shared" si="159"/>
        <v>MURREYSROLLOFFRORENT25D</v>
      </c>
      <c r="B348" s="81" t="s">
        <v>1171</v>
      </c>
      <c r="C348" s="81" t="s">
        <v>1172</v>
      </c>
      <c r="D348" s="82">
        <v>0</v>
      </c>
      <c r="E348" s="82">
        <v>0</v>
      </c>
      <c r="F348" s="83">
        <v>0</v>
      </c>
      <c r="G348" s="83">
        <v>0</v>
      </c>
      <c r="H348" s="83">
        <v>0</v>
      </c>
      <c r="I348" s="83">
        <v>0</v>
      </c>
      <c r="J348" s="83">
        <v>0</v>
      </c>
      <c r="K348" s="83">
        <v>0</v>
      </c>
      <c r="L348" s="83">
        <v>0</v>
      </c>
      <c r="M348" s="83">
        <v>0</v>
      </c>
      <c r="N348" s="83">
        <v>0</v>
      </c>
      <c r="O348" s="83">
        <v>0</v>
      </c>
      <c r="P348" s="83">
        <v>0</v>
      </c>
      <c r="Q348" s="83">
        <v>0</v>
      </c>
      <c r="R348" s="116">
        <f t="shared" si="160"/>
        <v>0</v>
      </c>
      <c r="S348" s="83">
        <f t="shared" si="161"/>
        <v>0</v>
      </c>
      <c r="T348" s="83">
        <f t="shared" si="161"/>
        <v>0</v>
      </c>
      <c r="U348" s="83">
        <f t="shared" si="168"/>
        <v>0</v>
      </c>
      <c r="V348" s="83">
        <f t="shared" si="168"/>
        <v>0</v>
      </c>
      <c r="W348" s="83">
        <f t="shared" si="168"/>
        <v>0</v>
      </c>
      <c r="X348" s="83">
        <f t="shared" si="168"/>
        <v>0</v>
      </c>
      <c r="Y348" s="83">
        <f t="shared" si="168"/>
        <v>0</v>
      </c>
      <c r="Z348" s="83">
        <f t="shared" si="168"/>
        <v>0</v>
      </c>
      <c r="AA348" s="83">
        <f t="shared" si="168"/>
        <v>0</v>
      </c>
      <c r="AB348" s="83">
        <f t="shared" si="168"/>
        <v>0</v>
      </c>
      <c r="AC348" s="83">
        <f t="shared" si="168"/>
        <v>0</v>
      </c>
      <c r="AD348" s="83">
        <f t="shared" si="168"/>
        <v>0</v>
      </c>
      <c r="AE348" s="83">
        <f t="shared" si="163"/>
        <v>0</v>
      </c>
      <c r="AF348" s="83"/>
      <c r="AH348" s="83"/>
      <c r="AI348" s="83"/>
      <c r="BB348" s="101">
        <f t="shared" si="128"/>
        <v>0</v>
      </c>
      <c r="BD348" s="112">
        <f t="shared" si="164"/>
        <v>0</v>
      </c>
      <c r="BE348" s="136">
        <f t="shared" si="165"/>
        <v>0</v>
      </c>
      <c r="BF348" s="137">
        <f t="shared" si="166"/>
        <v>0</v>
      </c>
      <c r="BG348" s="113">
        <f t="shared" si="167"/>
        <v>0</v>
      </c>
    </row>
    <row r="349" spans="1:59" s="62" customFormat="1" outlineLevel="1" x14ac:dyDescent="0.25">
      <c r="A349" s="62" t="str">
        <f t="shared" si="159"/>
        <v>MURREYSROLLOFFRORENT25P</v>
      </c>
      <c r="B349" s="81" t="s">
        <v>1173</v>
      </c>
      <c r="C349" s="81" t="s">
        <v>1174</v>
      </c>
      <c r="D349" s="82">
        <v>101.11</v>
      </c>
      <c r="E349" s="82">
        <v>101.11</v>
      </c>
      <c r="F349" s="83">
        <v>3632.9</v>
      </c>
      <c r="G349" s="83">
        <v>4009.54</v>
      </c>
      <c r="H349" s="83">
        <v>4167.47</v>
      </c>
      <c r="I349" s="83">
        <v>3794.99</v>
      </c>
      <c r="J349" s="83">
        <v>3741.0699999999997</v>
      </c>
      <c r="K349" s="83">
        <v>3639.96</v>
      </c>
      <c r="L349" s="83">
        <v>3542.11</v>
      </c>
      <c r="M349" s="83">
        <v>3538.85</v>
      </c>
      <c r="N349" s="83">
        <v>4202.8099999999995</v>
      </c>
      <c r="O349" s="83">
        <v>7437.45</v>
      </c>
      <c r="P349" s="83">
        <v>3650.0699999999997</v>
      </c>
      <c r="Q349" s="83">
        <v>3669.32</v>
      </c>
      <c r="R349" s="116">
        <f t="shared" si="160"/>
        <v>49026.539999999994</v>
      </c>
      <c r="S349" s="83">
        <f t="shared" si="161"/>
        <v>35.930175056868755</v>
      </c>
      <c r="T349" s="83">
        <f t="shared" si="161"/>
        <v>39.655226980516268</v>
      </c>
      <c r="U349" s="83">
        <f t="shared" si="168"/>
        <v>41.217189199881318</v>
      </c>
      <c r="V349" s="83">
        <f t="shared" si="168"/>
        <v>37.53328058550094</v>
      </c>
      <c r="W349" s="83">
        <f t="shared" si="168"/>
        <v>37</v>
      </c>
      <c r="X349" s="83">
        <f t="shared" si="168"/>
        <v>36</v>
      </c>
      <c r="Y349" s="83">
        <f t="shared" si="168"/>
        <v>35.032242112550691</v>
      </c>
      <c r="Z349" s="83">
        <f t="shared" si="168"/>
        <v>35</v>
      </c>
      <c r="AA349" s="83">
        <f t="shared" si="168"/>
        <v>41.566709524280483</v>
      </c>
      <c r="AB349" s="83">
        <f t="shared" si="168"/>
        <v>73.558006131935514</v>
      </c>
      <c r="AC349" s="83">
        <f t="shared" si="168"/>
        <v>36.099990109781423</v>
      </c>
      <c r="AD349" s="83">
        <f t="shared" si="168"/>
        <v>36.290376817327662</v>
      </c>
      <c r="AE349" s="83">
        <f t="shared" si="163"/>
        <v>40.406933043220256</v>
      </c>
      <c r="AF349" s="83"/>
      <c r="AH349" s="83"/>
      <c r="AI349" s="83"/>
      <c r="BB349" s="101">
        <f t="shared" si="128"/>
        <v>49026.54</v>
      </c>
      <c r="BD349" s="112">
        <f t="shared" si="164"/>
        <v>101.58</v>
      </c>
      <c r="BE349" s="136">
        <f t="shared" si="165"/>
        <v>49254.435102363765</v>
      </c>
      <c r="BF349" s="137">
        <f t="shared" si="166"/>
        <v>227.89510236376373</v>
      </c>
      <c r="BG349" s="113">
        <f t="shared" si="167"/>
        <v>4.6484027297003568E-3</v>
      </c>
    </row>
    <row r="350" spans="1:59" s="62" customFormat="1" outlineLevel="1" x14ac:dyDescent="0.25">
      <c r="A350" s="62" t="str">
        <f t="shared" si="159"/>
        <v>MURREYSROLLOFFRORENT25T</v>
      </c>
      <c r="B350" s="81" t="s">
        <v>1175</v>
      </c>
      <c r="C350" s="81" t="s">
        <v>1176</v>
      </c>
      <c r="D350" s="82">
        <v>159.82</v>
      </c>
      <c r="E350" s="82">
        <v>159.82</v>
      </c>
      <c r="F350" s="83">
        <v>1425.5</v>
      </c>
      <c r="G350" s="83">
        <v>677.85</v>
      </c>
      <c r="H350" s="83">
        <v>586.16999999999996</v>
      </c>
      <c r="I350" s="83">
        <v>932.3</v>
      </c>
      <c r="J350" s="83">
        <v>1888.6299999999999</v>
      </c>
      <c r="K350" s="83">
        <v>1662.1399999999999</v>
      </c>
      <c r="L350" s="83">
        <v>1794.12</v>
      </c>
      <c r="M350" s="83">
        <v>1926.0900000000001</v>
      </c>
      <c r="N350" s="83">
        <v>1097.44</v>
      </c>
      <c r="O350" s="83">
        <v>991.06999999999994</v>
      </c>
      <c r="P350" s="83">
        <v>1374.47</v>
      </c>
      <c r="Q350" s="83">
        <v>1150.8899999999999</v>
      </c>
      <c r="R350" s="116">
        <f t="shared" si="160"/>
        <v>15506.669999999998</v>
      </c>
      <c r="S350" s="83">
        <f t="shared" si="161"/>
        <v>8.91940933550244</v>
      </c>
      <c r="T350" s="83">
        <f t="shared" si="161"/>
        <v>4.2413340007508449</v>
      </c>
      <c r="U350" s="83">
        <f t="shared" si="168"/>
        <v>3.6676886497309473</v>
      </c>
      <c r="V350" s="83">
        <f t="shared" si="168"/>
        <v>5.8334376173194844</v>
      </c>
      <c r="W350" s="83">
        <f t="shared" si="168"/>
        <v>11.817231885871605</v>
      </c>
      <c r="X350" s="83">
        <f t="shared" si="168"/>
        <v>10.400075084470028</v>
      </c>
      <c r="Y350" s="83">
        <f t="shared" si="168"/>
        <v>11.225879114003254</v>
      </c>
      <c r="Z350" s="83">
        <f t="shared" si="168"/>
        <v>12.05162057314479</v>
      </c>
      <c r="AA350" s="83">
        <f t="shared" si="168"/>
        <v>6.8667250656989118</v>
      </c>
      <c r="AB350" s="83">
        <f t="shared" si="168"/>
        <v>6.201163809285446</v>
      </c>
      <c r="AC350" s="83">
        <f t="shared" si="168"/>
        <v>8.6001126267050445</v>
      </c>
      <c r="AD350" s="83">
        <f t="shared" si="168"/>
        <v>7.201163809285446</v>
      </c>
      <c r="AE350" s="83">
        <f t="shared" si="163"/>
        <v>8.0854867976473539</v>
      </c>
      <c r="AF350" s="83"/>
      <c r="AH350" s="83"/>
      <c r="AI350" s="83"/>
      <c r="BB350" s="101">
        <f t="shared" si="128"/>
        <v>15506.670000000002</v>
      </c>
      <c r="BD350" s="112">
        <f t="shared" si="164"/>
        <v>160.57</v>
      </c>
      <c r="BE350" s="136">
        <f t="shared" si="165"/>
        <v>15579.439381178829</v>
      </c>
      <c r="BF350" s="137">
        <f t="shared" si="166"/>
        <v>72.769381178826734</v>
      </c>
      <c r="BG350" s="113">
        <f t="shared" si="167"/>
        <v>4.6927793767989343E-3</v>
      </c>
    </row>
    <row r="351" spans="1:59" s="62" customFormat="1" outlineLevel="1" x14ac:dyDescent="0.25">
      <c r="A351" s="62" t="str">
        <f t="shared" si="159"/>
        <v>MURREYSROLLOFFRORENT30D</v>
      </c>
      <c r="B351" s="81" t="s">
        <v>1177</v>
      </c>
      <c r="C351" s="81" t="s">
        <v>1178</v>
      </c>
      <c r="D351" s="82">
        <v>0</v>
      </c>
      <c r="E351" s="82">
        <v>0</v>
      </c>
      <c r="F351" s="83">
        <v>0</v>
      </c>
      <c r="G351" s="83">
        <v>0</v>
      </c>
      <c r="H351" s="83">
        <v>0</v>
      </c>
      <c r="I351" s="83">
        <v>0</v>
      </c>
      <c r="J351" s="83">
        <v>0</v>
      </c>
      <c r="K351" s="83">
        <v>0</v>
      </c>
      <c r="L351" s="83">
        <v>0</v>
      </c>
      <c r="M351" s="83">
        <v>0</v>
      </c>
      <c r="N351" s="83">
        <v>0</v>
      </c>
      <c r="O351" s="83">
        <v>0</v>
      </c>
      <c r="P351" s="83">
        <v>0</v>
      </c>
      <c r="Q351" s="83">
        <v>0</v>
      </c>
      <c r="R351" s="116">
        <f t="shared" si="160"/>
        <v>0</v>
      </c>
      <c r="S351" s="83">
        <f t="shared" si="161"/>
        <v>0</v>
      </c>
      <c r="T351" s="83">
        <f t="shared" si="161"/>
        <v>0</v>
      </c>
      <c r="U351" s="83">
        <f t="shared" si="168"/>
        <v>0</v>
      </c>
      <c r="V351" s="83">
        <f t="shared" si="168"/>
        <v>0</v>
      </c>
      <c r="W351" s="83">
        <f t="shared" si="168"/>
        <v>0</v>
      </c>
      <c r="X351" s="83">
        <f t="shared" si="168"/>
        <v>0</v>
      </c>
      <c r="Y351" s="83">
        <f t="shared" si="168"/>
        <v>0</v>
      </c>
      <c r="Z351" s="83">
        <f t="shared" si="168"/>
        <v>0</v>
      </c>
      <c r="AA351" s="83">
        <f t="shared" si="168"/>
        <v>0</v>
      </c>
      <c r="AB351" s="83">
        <f t="shared" si="168"/>
        <v>0</v>
      </c>
      <c r="AC351" s="83">
        <f t="shared" si="168"/>
        <v>0</v>
      </c>
      <c r="AD351" s="83">
        <f t="shared" si="168"/>
        <v>0</v>
      </c>
      <c r="AE351" s="83">
        <f t="shared" si="163"/>
        <v>0</v>
      </c>
      <c r="AF351" s="83"/>
      <c r="AH351" s="83"/>
      <c r="AI351" s="83"/>
      <c r="BB351" s="101">
        <f t="shared" si="128"/>
        <v>0</v>
      </c>
      <c r="BD351" s="112">
        <f t="shared" si="164"/>
        <v>0</v>
      </c>
      <c r="BE351" s="136">
        <f t="shared" si="165"/>
        <v>0</v>
      </c>
      <c r="BF351" s="137">
        <f t="shared" si="166"/>
        <v>0</v>
      </c>
      <c r="BG351" s="113">
        <f t="shared" si="167"/>
        <v>0</v>
      </c>
    </row>
    <row r="352" spans="1:59" s="62" customFormat="1" outlineLevel="1" x14ac:dyDescent="0.25">
      <c r="A352" s="62" t="str">
        <f t="shared" si="159"/>
        <v>MURREYSROLLOFFRORENT30P</v>
      </c>
      <c r="B352" s="81" t="s">
        <v>1179</v>
      </c>
      <c r="C352" s="81" t="s">
        <v>1180</v>
      </c>
      <c r="D352" s="82">
        <v>110.9</v>
      </c>
      <c r="E352" s="82">
        <v>110.9</v>
      </c>
      <c r="F352" s="83">
        <v>12925.21</v>
      </c>
      <c r="G352" s="83">
        <v>13200.92</v>
      </c>
      <c r="H352" s="83">
        <v>13067.72</v>
      </c>
      <c r="I352" s="83">
        <v>13163.83</v>
      </c>
      <c r="J352" s="83">
        <v>12807.16</v>
      </c>
      <c r="K352" s="83">
        <v>12853.31</v>
      </c>
      <c r="L352" s="83">
        <v>12742.77</v>
      </c>
      <c r="M352" s="83">
        <v>12753.5</v>
      </c>
      <c r="N352" s="83">
        <v>13226.68</v>
      </c>
      <c r="O352" s="83">
        <v>8890.01</v>
      </c>
      <c r="P352" s="83">
        <v>13145.349999999999</v>
      </c>
      <c r="Q352" s="83">
        <v>13333.4</v>
      </c>
      <c r="R352" s="116">
        <f t="shared" si="160"/>
        <v>152109.85999999999</v>
      </c>
      <c r="S352" s="83">
        <f t="shared" si="161"/>
        <v>116.54833183047789</v>
      </c>
      <c r="T352" s="83">
        <f t="shared" si="161"/>
        <v>119.03444544634806</v>
      </c>
      <c r="U352" s="83">
        <f t="shared" si="168"/>
        <v>117.83336339044183</v>
      </c>
      <c r="V352" s="83">
        <f t="shared" si="168"/>
        <v>118.69999999999999</v>
      </c>
      <c r="W352" s="83">
        <f t="shared" si="168"/>
        <v>115.48385933273218</v>
      </c>
      <c r="X352" s="83">
        <f t="shared" si="168"/>
        <v>115.89999999999999</v>
      </c>
      <c r="Y352" s="83">
        <f t="shared" si="168"/>
        <v>114.90324616771866</v>
      </c>
      <c r="Z352" s="83">
        <f t="shared" si="168"/>
        <v>115</v>
      </c>
      <c r="AA352" s="83">
        <f t="shared" si="168"/>
        <v>119.26672678088367</v>
      </c>
      <c r="AB352" s="83">
        <f t="shared" si="168"/>
        <v>80.162398557258783</v>
      </c>
      <c r="AC352" s="83">
        <f t="shared" si="168"/>
        <v>118.53336339044182</v>
      </c>
      <c r="AD352" s="83">
        <f t="shared" si="168"/>
        <v>120.22903516681694</v>
      </c>
      <c r="AE352" s="83">
        <f t="shared" si="163"/>
        <v>114.29956417192663</v>
      </c>
      <c r="AF352" s="83"/>
      <c r="AH352" s="83"/>
      <c r="AI352" s="83"/>
      <c r="BB352" s="101">
        <f t="shared" ref="BB352:BB407" si="169">+AE352*E352*12</f>
        <v>152109.85999999999</v>
      </c>
      <c r="BD352" s="112">
        <f t="shared" si="164"/>
        <v>111.42</v>
      </c>
      <c r="BE352" s="136">
        <f t="shared" si="165"/>
        <v>152823.08928043279</v>
      </c>
      <c r="BF352" s="137">
        <f t="shared" si="166"/>
        <v>713.22928043280263</v>
      </c>
      <c r="BG352" s="113">
        <f t="shared" si="167"/>
        <v>4.6889089269610967E-3</v>
      </c>
    </row>
    <row r="353" spans="1:59" s="62" customFormat="1" outlineLevel="1" x14ac:dyDescent="0.25">
      <c r="A353" s="62" t="str">
        <f t="shared" si="159"/>
        <v>MURREYSROLLOFFRORENT30T</v>
      </c>
      <c r="B353" s="81" t="s">
        <v>1181</v>
      </c>
      <c r="C353" s="81" t="s">
        <v>1182</v>
      </c>
      <c r="D353" s="82">
        <v>166.94</v>
      </c>
      <c r="E353" s="82">
        <v>166.94</v>
      </c>
      <c r="F353" s="83">
        <v>3597.5099999999998</v>
      </c>
      <c r="G353" s="83">
        <v>2964.65</v>
      </c>
      <c r="H353" s="83">
        <v>2821.09</v>
      </c>
      <c r="I353" s="83">
        <v>3043.89</v>
      </c>
      <c r="J353" s="83">
        <v>3089.84</v>
      </c>
      <c r="K353" s="83">
        <v>3144.04</v>
      </c>
      <c r="L353" s="83">
        <v>3491.6</v>
      </c>
      <c r="M353" s="83">
        <v>4256.28</v>
      </c>
      <c r="N353" s="83">
        <v>2882.51</v>
      </c>
      <c r="O353" s="83">
        <v>2738.9100000000003</v>
      </c>
      <c r="P353" s="83">
        <v>2275.9499999999998</v>
      </c>
      <c r="Q353" s="83">
        <v>1572.67</v>
      </c>
      <c r="R353" s="116">
        <f t="shared" si="160"/>
        <v>35878.939999999995</v>
      </c>
      <c r="S353" s="83">
        <f t="shared" si="161"/>
        <v>21.549718461722772</v>
      </c>
      <c r="T353" s="83">
        <f t="shared" si="161"/>
        <v>17.758775608002875</v>
      </c>
      <c r="U353" s="83">
        <f t="shared" si="168"/>
        <v>16.89882592548221</v>
      </c>
      <c r="V353" s="83">
        <f t="shared" si="168"/>
        <v>18.233437163052592</v>
      </c>
      <c r="W353" s="83">
        <f t="shared" si="168"/>
        <v>18.50868575536121</v>
      </c>
      <c r="X353" s="83">
        <f t="shared" si="168"/>
        <v>18.833353300587039</v>
      </c>
      <c r="Y353" s="83">
        <f t="shared" si="168"/>
        <v>20.915298909787946</v>
      </c>
      <c r="Z353" s="83">
        <f t="shared" si="168"/>
        <v>25.495866778483286</v>
      </c>
      <c r="AA353" s="83">
        <f t="shared" si="168"/>
        <v>17.266742542230745</v>
      </c>
      <c r="AB353" s="83">
        <f t="shared" si="168"/>
        <v>16.406553252665631</v>
      </c>
      <c r="AC353" s="83">
        <f t="shared" si="168"/>
        <v>13.633341320234814</v>
      </c>
      <c r="AD353" s="83">
        <f t="shared" si="168"/>
        <v>9.4205702647657841</v>
      </c>
      <c r="AE353" s="83">
        <f t="shared" si="163"/>
        <v>17.910097440198072</v>
      </c>
      <c r="AF353" s="83"/>
      <c r="AH353" s="83"/>
      <c r="AI353" s="83"/>
      <c r="BB353" s="101">
        <f t="shared" si="169"/>
        <v>35878.939999999988</v>
      </c>
      <c r="BD353" s="112">
        <f t="shared" si="164"/>
        <v>167.72</v>
      </c>
      <c r="BE353" s="136">
        <f t="shared" si="165"/>
        <v>36046.578512040251</v>
      </c>
      <c r="BF353" s="137">
        <f t="shared" si="166"/>
        <v>167.63851204026287</v>
      </c>
      <c r="BG353" s="113">
        <f t="shared" si="167"/>
        <v>4.672337366718831E-3</v>
      </c>
    </row>
    <row r="354" spans="1:59" s="62" customFormat="1" outlineLevel="1" x14ac:dyDescent="0.25">
      <c r="A354" s="62" t="str">
        <f t="shared" si="159"/>
        <v>MURREYSROLLOFFRORENT40P</v>
      </c>
      <c r="B354" s="81" t="s">
        <v>1183</v>
      </c>
      <c r="C354" s="81" t="s">
        <v>1184</v>
      </c>
      <c r="D354" s="82">
        <v>113.07</v>
      </c>
      <c r="E354" s="82">
        <v>113.07</v>
      </c>
      <c r="F354" s="83">
        <v>678.42</v>
      </c>
      <c r="G354" s="83">
        <v>791.49</v>
      </c>
      <c r="H354" s="83">
        <v>736.78</v>
      </c>
      <c r="I354" s="83">
        <v>678.42</v>
      </c>
      <c r="J354" s="83">
        <v>791.49</v>
      </c>
      <c r="K354" s="83">
        <v>791.49</v>
      </c>
      <c r="L354" s="83">
        <v>791.49</v>
      </c>
      <c r="M354" s="83">
        <v>791.49</v>
      </c>
      <c r="N354" s="83">
        <v>904.56</v>
      </c>
      <c r="O354" s="83">
        <v>904.56</v>
      </c>
      <c r="P354" s="83">
        <v>904.56</v>
      </c>
      <c r="Q354" s="83">
        <v>904.56</v>
      </c>
      <c r="R354" s="116">
        <f t="shared" si="160"/>
        <v>9669.3099999999977</v>
      </c>
      <c r="S354" s="83">
        <f t="shared" si="161"/>
        <v>6</v>
      </c>
      <c r="T354" s="83">
        <f t="shared" si="161"/>
        <v>7.0000000000000009</v>
      </c>
      <c r="U354" s="83">
        <f t="shared" si="168"/>
        <v>6.5161404439727608</v>
      </c>
      <c r="V354" s="83">
        <f t="shared" si="168"/>
        <v>6</v>
      </c>
      <c r="W354" s="83">
        <f t="shared" si="168"/>
        <v>7.0000000000000009</v>
      </c>
      <c r="X354" s="83">
        <f t="shared" si="168"/>
        <v>7.0000000000000009</v>
      </c>
      <c r="Y354" s="83">
        <f t="shared" si="168"/>
        <v>7.0000000000000009</v>
      </c>
      <c r="Z354" s="83">
        <f t="shared" si="168"/>
        <v>7.0000000000000009</v>
      </c>
      <c r="AA354" s="83">
        <f t="shared" si="168"/>
        <v>8</v>
      </c>
      <c r="AB354" s="83">
        <f t="shared" si="168"/>
        <v>8</v>
      </c>
      <c r="AC354" s="83">
        <f t="shared" si="168"/>
        <v>8</v>
      </c>
      <c r="AD354" s="83">
        <f t="shared" si="168"/>
        <v>8</v>
      </c>
      <c r="AE354" s="83">
        <f t="shared" si="163"/>
        <v>7.1263450369977299</v>
      </c>
      <c r="AF354" s="83"/>
      <c r="AH354" s="83"/>
      <c r="AI354" s="83"/>
      <c r="BB354" s="101">
        <f t="shared" si="169"/>
        <v>9669.31</v>
      </c>
      <c r="BD354" s="112">
        <f t="shared" si="164"/>
        <v>113.6</v>
      </c>
      <c r="BE354" s="136">
        <f t="shared" si="165"/>
        <v>9714.633554435306</v>
      </c>
      <c r="BF354" s="137">
        <f t="shared" si="166"/>
        <v>45.323554435306505</v>
      </c>
      <c r="BG354" s="113">
        <f t="shared" si="167"/>
        <v>4.6873618112674544E-3</v>
      </c>
    </row>
    <row r="355" spans="1:59" s="62" customFormat="1" outlineLevel="1" x14ac:dyDescent="0.25">
      <c r="A355" s="62" t="str">
        <f t="shared" si="159"/>
        <v>MURREYSROLLOFFRORENT40T</v>
      </c>
      <c r="B355" s="81" t="s">
        <v>1185</v>
      </c>
      <c r="C355" s="81" t="s">
        <v>1186</v>
      </c>
      <c r="D355" s="82">
        <v>202.2</v>
      </c>
      <c r="E355" s="82">
        <v>202.2</v>
      </c>
      <c r="F355" s="83">
        <v>202.2</v>
      </c>
      <c r="G355" s="83">
        <v>0</v>
      </c>
      <c r="H355" s="83">
        <v>0</v>
      </c>
      <c r="I355" s="83">
        <v>0</v>
      </c>
      <c r="J355" s="83">
        <v>71.75</v>
      </c>
      <c r="K355" s="83">
        <v>202.2</v>
      </c>
      <c r="L355" s="83">
        <v>241.33999999999997</v>
      </c>
      <c r="M355" s="83">
        <v>202.2</v>
      </c>
      <c r="N355" s="83">
        <v>0</v>
      </c>
      <c r="O355" s="83">
        <v>0</v>
      </c>
      <c r="P355" s="83">
        <v>0</v>
      </c>
      <c r="Q355" s="83">
        <v>39.14</v>
      </c>
      <c r="R355" s="116">
        <f t="shared" si="160"/>
        <v>958.83</v>
      </c>
      <c r="S355" s="83">
        <f t="shared" si="161"/>
        <v>1</v>
      </c>
      <c r="T355" s="83">
        <f t="shared" si="161"/>
        <v>0</v>
      </c>
      <c r="U355" s="83">
        <f t="shared" si="168"/>
        <v>0</v>
      </c>
      <c r="V355" s="83">
        <f t="shared" si="168"/>
        <v>0</v>
      </c>
      <c r="W355" s="83">
        <f t="shared" si="168"/>
        <v>0.35484668644906037</v>
      </c>
      <c r="X355" s="83">
        <f t="shared" si="168"/>
        <v>1</v>
      </c>
      <c r="Y355" s="83">
        <f t="shared" si="168"/>
        <v>1.1935707220573688</v>
      </c>
      <c r="Z355" s="83">
        <f t="shared" si="168"/>
        <v>1</v>
      </c>
      <c r="AA355" s="83">
        <f t="shared" si="168"/>
        <v>0</v>
      </c>
      <c r="AB355" s="83">
        <f t="shared" si="168"/>
        <v>0</v>
      </c>
      <c r="AC355" s="83">
        <f t="shared" si="168"/>
        <v>0</v>
      </c>
      <c r="AD355" s="83">
        <f t="shared" si="168"/>
        <v>0.19357072205736894</v>
      </c>
      <c r="AE355" s="83">
        <f t="shared" si="163"/>
        <v>0.39516567754698317</v>
      </c>
      <c r="AF355" s="83"/>
      <c r="AH355" s="83"/>
      <c r="AI355" s="83"/>
      <c r="BB355" s="101">
        <f t="shared" si="169"/>
        <v>958.82999999999993</v>
      </c>
      <c r="BD355" s="112">
        <f t="shared" si="164"/>
        <v>203.15</v>
      </c>
      <c r="BE355" s="136">
        <f t="shared" si="165"/>
        <v>963.33488872403564</v>
      </c>
      <c r="BF355" s="137">
        <f t="shared" si="166"/>
        <v>4.5048887240357089</v>
      </c>
      <c r="BG355" s="113">
        <f t="shared" si="167"/>
        <v>4.6983184965381864E-3</v>
      </c>
    </row>
    <row r="356" spans="1:59" s="62" customFormat="1" outlineLevel="1" x14ac:dyDescent="0.25">
      <c r="A356" s="62" t="str">
        <f t="shared" si="159"/>
        <v>MURREYSROLLOFFRECYHAUL10</v>
      </c>
      <c r="B356" s="81" t="s">
        <v>1187</v>
      </c>
      <c r="C356" s="81" t="s">
        <v>1188</v>
      </c>
      <c r="D356" s="82">
        <v>0</v>
      </c>
      <c r="E356" s="82">
        <v>0</v>
      </c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116"/>
      <c r="S356" s="83">
        <f t="shared" si="161"/>
        <v>0</v>
      </c>
      <c r="T356" s="83">
        <f t="shared" si="161"/>
        <v>0</v>
      </c>
      <c r="U356" s="83">
        <f t="shared" si="168"/>
        <v>0</v>
      </c>
      <c r="V356" s="83">
        <f t="shared" si="168"/>
        <v>0</v>
      </c>
      <c r="W356" s="83">
        <f t="shared" si="168"/>
        <v>0</v>
      </c>
      <c r="X356" s="83">
        <f t="shared" si="168"/>
        <v>0</v>
      </c>
      <c r="Y356" s="83">
        <f t="shared" si="168"/>
        <v>0</v>
      </c>
      <c r="Z356" s="83">
        <f t="shared" si="168"/>
        <v>0</v>
      </c>
      <c r="AA356" s="83">
        <f t="shared" si="168"/>
        <v>0</v>
      </c>
      <c r="AB356" s="83">
        <f t="shared" si="168"/>
        <v>0</v>
      </c>
      <c r="AC356" s="83">
        <f t="shared" si="168"/>
        <v>0</v>
      </c>
      <c r="AD356" s="83">
        <f t="shared" si="168"/>
        <v>0</v>
      </c>
      <c r="AE356" s="83">
        <f t="shared" si="163"/>
        <v>0</v>
      </c>
      <c r="AF356" s="83"/>
      <c r="AH356" s="83"/>
      <c r="AI356" s="83"/>
      <c r="BB356" s="101">
        <f t="shared" si="169"/>
        <v>0</v>
      </c>
      <c r="BD356" s="112">
        <f t="shared" si="164"/>
        <v>0</v>
      </c>
      <c r="BE356" s="136">
        <f t="shared" si="165"/>
        <v>0</v>
      </c>
      <c r="BF356" s="137">
        <f t="shared" si="166"/>
        <v>0</v>
      </c>
      <c r="BG356" s="113">
        <f t="shared" si="167"/>
        <v>0</v>
      </c>
    </row>
    <row r="357" spans="1:59" s="62" customFormat="1" outlineLevel="1" x14ac:dyDescent="0.25">
      <c r="A357" s="62" t="str">
        <f t="shared" si="159"/>
        <v>MURREYSROLLOFFRECYHAUL12</v>
      </c>
      <c r="B357" s="81" t="s">
        <v>1189</v>
      </c>
      <c r="C357" s="81" t="s">
        <v>1190</v>
      </c>
      <c r="D357" s="82">
        <v>0</v>
      </c>
      <c r="E357" s="82">
        <v>0</v>
      </c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116"/>
      <c r="S357" s="83">
        <f t="shared" si="161"/>
        <v>0</v>
      </c>
      <c r="T357" s="83">
        <f t="shared" si="161"/>
        <v>0</v>
      </c>
      <c r="U357" s="83">
        <f t="shared" si="168"/>
        <v>0</v>
      </c>
      <c r="V357" s="83">
        <f t="shared" si="168"/>
        <v>0</v>
      </c>
      <c r="W357" s="83">
        <f t="shared" si="168"/>
        <v>0</v>
      </c>
      <c r="X357" s="83">
        <f t="shared" si="168"/>
        <v>0</v>
      </c>
      <c r="Y357" s="83">
        <f t="shared" si="168"/>
        <v>0</v>
      </c>
      <c r="Z357" s="83">
        <f t="shared" si="168"/>
        <v>0</v>
      </c>
      <c r="AA357" s="83">
        <f t="shared" si="168"/>
        <v>0</v>
      </c>
      <c r="AB357" s="83">
        <f t="shared" si="168"/>
        <v>0</v>
      </c>
      <c r="AC357" s="83">
        <f t="shared" si="168"/>
        <v>0</v>
      </c>
      <c r="AD357" s="83">
        <f t="shared" si="168"/>
        <v>0</v>
      </c>
      <c r="AE357" s="83">
        <f t="shared" si="163"/>
        <v>0</v>
      </c>
      <c r="AF357" s="83"/>
      <c r="AH357" s="83"/>
      <c r="AI357" s="83"/>
      <c r="BB357" s="101">
        <f t="shared" si="169"/>
        <v>0</v>
      </c>
      <c r="BD357" s="112">
        <f t="shared" si="164"/>
        <v>0</v>
      </c>
      <c r="BE357" s="136">
        <f t="shared" si="165"/>
        <v>0</v>
      </c>
      <c r="BF357" s="137">
        <f t="shared" si="166"/>
        <v>0</v>
      </c>
      <c r="BG357" s="113">
        <f t="shared" si="167"/>
        <v>0</v>
      </c>
    </row>
    <row r="358" spans="1:59" s="62" customFormat="1" outlineLevel="1" x14ac:dyDescent="0.25">
      <c r="A358" s="62" t="str">
        <f t="shared" si="159"/>
        <v>MURREYSROLLOFFRECYHAUL15</v>
      </c>
      <c r="B358" s="81" t="s">
        <v>1191</v>
      </c>
      <c r="C358" s="81" t="s">
        <v>1192</v>
      </c>
      <c r="D358" s="82">
        <v>0</v>
      </c>
      <c r="E358" s="82">
        <v>0</v>
      </c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116"/>
      <c r="S358" s="83">
        <f t="shared" si="161"/>
        <v>0</v>
      </c>
      <c r="T358" s="83">
        <f t="shared" si="161"/>
        <v>0</v>
      </c>
      <c r="U358" s="83">
        <f t="shared" si="168"/>
        <v>0</v>
      </c>
      <c r="V358" s="83">
        <f t="shared" si="168"/>
        <v>0</v>
      </c>
      <c r="W358" s="83">
        <f t="shared" si="168"/>
        <v>0</v>
      </c>
      <c r="X358" s="83">
        <f t="shared" si="168"/>
        <v>0</v>
      </c>
      <c r="Y358" s="83">
        <f t="shared" si="168"/>
        <v>0</v>
      </c>
      <c r="Z358" s="83">
        <f t="shared" si="168"/>
        <v>0</v>
      </c>
      <c r="AA358" s="83">
        <f t="shared" si="168"/>
        <v>0</v>
      </c>
      <c r="AB358" s="83">
        <f t="shared" si="168"/>
        <v>0</v>
      </c>
      <c r="AC358" s="83">
        <f t="shared" si="168"/>
        <v>0</v>
      </c>
      <c r="AD358" s="83">
        <f t="shared" si="168"/>
        <v>0</v>
      </c>
      <c r="AE358" s="83">
        <f t="shared" si="163"/>
        <v>0</v>
      </c>
      <c r="AF358" s="83"/>
      <c r="AH358" s="83"/>
      <c r="AI358" s="83"/>
      <c r="BB358" s="101">
        <f t="shared" si="169"/>
        <v>0</v>
      </c>
      <c r="BD358" s="112">
        <f t="shared" si="164"/>
        <v>0</v>
      </c>
      <c r="BE358" s="136">
        <f t="shared" si="165"/>
        <v>0</v>
      </c>
      <c r="BF358" s="137">
        <f t="shared" si="166"/>
        <v>0</v>
      </c>
      <c r="BG358" s="113">
        <f t="shared" si="167"/>
        <v>0</v>
      </c>
    </row>
    <row r="359" spans="1:59" s="62" customFormat="1" outlineLevel="1" x14ac:dyDescent="0.25">
      <c r="A359" s="62" t="str">
        <f t="shared" si="159"/>
        <v>MURREYSROLLOFFRECYHAUL20</v>
      </c>
      <c r="B359" s="81" t="s">
        <v>1193</v>
      </c>
      <c r="C359" s="81" t="s">
        <v>1194</v>
      </c>
      <c r="D359" s="82">
        <v>0</v>
      </c>
      <c r="E359" s="82">
        <v>0</v>
      </c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116"/>
      <c r="S359" s="83">
        <f t="shared" si="161"/>
        <v>0</v>
      </c>
      <c r="T359" s="83">
        <f t="shared" si="161"/>
        <v>0</v>
      </c>
      <c r="U359" s="83">
        <f t="shared" si="168"/>
        <v>0</v>
      </c>
      <c r="V359" s="83">
        <f t="shared" si="168"/>
        <v>0</v>
      </c>
      <c r="W359" s="83">
        <f t="shared" si="168"/>
        <v>0</v>
      </c>
      <c r="X359" s="83">
        <f t="shared" si="168"/>
        <v>0</v>
      </c>
      <c r="Y359" s="83">
        <f t="shared" si="168"/>
        <v>0</v>
      </c>
      <c r="Z359" s="83">
        <f t="shared" si="168"/>
        <v>0</v>
      </c>
      <c r="AA359" s="83">
        <f t="shared" si="168"/>
        <v>0</v>
      </c>
      <c r="AB359" s="83">
        <f t="shared" si="168"/>
        <v>0</v>
      </c>
      <c r="AC359" s="83">
        <f t="shared" si="168"/>
        <v>0</v>
      </c>
      <c r="AD359" s="83">
        <f t="shared" si="168"/>
        <v>0</v>
      </c>
      <c r="AE359" s="83">
        <f t="shared" si="163"/>
        <v>0</v>
      </c>
      <c r="AF359" s="83"/>
      <c r="AH359" s="83"/>
      <c r="AI359" s="83"/>
      <c r="BB359" s="101">
        <f t="shared" si="169"/>
        <v>0</v>
      </c>
      <c r="BD359" s="112">
        <f t="shared" si="164"/>
        <v>0</v>
      </c>
      <c r="BE359" s="136">
        <f t="shared" si="165"/>
        <v>0</v>
      </c>
      <c r="BF359" s="137">
        <f t="shared" si="166"/>
        <v>0</v>
      </c>
      <c r="BG359" s="113">
        <f t="shared" si="167"/>
        <v>0</v>
      </c>
    </row>
    <row r="360" spans="1:59" s="62" customFormat="1" outlineLevel="1" x14ac:dyDescent="0.25">
      <c r="A360" s="62" t="str">
        <f t="shared" si="159"/>
        <v>MURREYSROLLOFFRECYHAUL25</v>
      </c>
      <c r="B360" s="81" t="s">
        <v>1195</v>
      </c>
      <c r="C360" s="81" t="s">
        <v>1196</v>
      </c>
      <c r="D360" s="82">
        <v>0</v>
      </c>
      <c r="E360" s="82">
        <v>0</v>
      </c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116"/>
      <c r="S360" s="83">
        <f t="shared" si="161"/>
        <v>0</v>
      </c>
      <c r="T360" s="83">
        <f t="shared" si="161"/>
        <v>0</v>
      </c>
      <c r="U360" s="83">
        <f t="shared" si="168"/>
        <v>0</v>
      </c>
      <c r="V360" s="83">
        <f t="shared" si="168"/>
        <v>0</v>
      </c>
      <c r="W360" s="83">
        <f t="shared" si="168"/>
        <v>0</v>
      </c>
      <c r="X360" s="83">
        <f t="shared" si="168"/>
        <v>0</v>
      </c>
      <c r="Y360" s="83">
        <f t="shared" si="168"/>
        <v>0</v>
      </c>
      <c r="Z360" s="83">
        <f t="shared" si="168"/>
        <v>0</v>
      </c>
      <c r="AA360" s="83">
        <f t="shared" si="168"/>
        <v>0</v>
      </c>
      <c r="AB360" s="83">
        <f t="shared" si="168"/>
        <v>0</v>
      </c>
      <c r="AC360" s="83">
        <f t="shared" si="168"/>
        <v>0</v>
      </c>
      <c r="AD360" s="83">
        <f t="shared" si="168"/>
        <v>0</v>
      </c>
      <c r="AE360" s="83">
        <f t="shared" si="163"/>
        <v>0</v>
      </c>
      <c r="AF360" s="83"/>
      <c r="AH360" s="83"/>
      <c r="AI360" s="83"/>
      <c r="BB360" s="101">
        <f t="shared" si="169"/>
        <v>0</v>
      </c>
      <c r="BD360" s="112">
        <f t="shared" si="164"/>
        <v>0</v>
      </c>
      <c r="BE360" s="136">
        <f t="shared" si="165"/>
        <v>0</v>
      </c>
      <c r="BF360" s="137">
        <f t="shared" si="166"/>
        <v>0</v>
      </c>
      <c r="BG360" s="113">
        <f t="shared" si="167"/>
        <v>0</v>
      </c>
    </row>
    <row r="361" spans="1:59" s="62" customFormat="1" outlineLevel="1" x14ac:dyDescent="0.25">
      <c r="A361" s="62" t="str">
        <f t="shared" si="159"/>
        <v>MURREYSROLLOFFRECYHAUL30</v>
      </c>
      <c r="B361" s="81" t="s">
        <v>1197</v>
      </c>
      <c r="C361" s="81" t="s">
        <v>1198</v>
      </c>
      <c r="D361" s="82">
        <v>0</v>
      </c>
      <c r="E361" s="82">
        <v>0</v>
      </c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116"/>
      <c r="S361" s="83">
        <f t="shared" si="161"/>
        <v>0</v>
      </c>
      <c r="T361" s="83">
        <f t="shared" si="161"/>
        <v>0</v>
      </c>
      <c r="U361" s="83">
        <f t="shared" si="168"/>
        <v>0</v>
      </c>
      <c r="V361" s="83">
        <f t="shared" si="168"/>
        <v>0</v>
      </c>
      <c r="W361" s="83">
        <f t="shared" si="168"/>
        <v>0</v>
      </c>
      <c r="X361" s="83">
        <f t="shared" si="168"/>
        <v>0</v>
      </c>
      <c r="Y361" s="83">
        <f t="shared" si="168"/>
        <v>0</v>
      </c>
      <c r="Z361" s="83">
        <f t="shared" si="168"/>
        <v>0</v>
      </c>
      <c r="AA361" s="83">
        <f t="shared" si="168"/>
        <v>0</v>
      </c>
      <c r="AB361" s="83">
        <f t="shared" si="168"/>
        <v>0</v>
      </c>
      <c r="AC361" s="83">
        <f t="shared" si="168"/>
        <v>0</v>
      </c>
      <c r="AD361" s="83">
        <f t="shared" si="168"/>
        <v>0</v>
      </c>
      <c r="AE361" s="83">
        <f t="shared" si="163"/>
        <v>0</v>
      </c>
      <c r="AF361" s="83"/>
      <c r="AH361" s="83"/>
      <c r="AI361" s="83"/>
      <c r="BB361" s="101">
        <f t="shared" si="169"/>
        <v>0</v>
      </c>
      <c r="BD361" s="112">
        <f t="shared" si="164"/>
        <v>0</v>
      </c>
      <c r="BE361" s="136">
        <f t="shared" si="165"/>
        <v>0</v>
      </c>
      <c r="BF361" s="137">
        <f t="shared" si="166"/>
        <v>0</v>
      </c>
      <c r="BG361" s="113">
        <f t="shared" si="167"/>
        <v>0</v>
      </c>
    </row>
    <row r="362" spans="1:59" s="62" customFormat="1" outlineLevel="1" x14ac:dyDescent="0.25">
      <c r="A362" s="62" t="str">
        <f t="shared" si="159"/>
        <v>MURREYSROLLOFFRECYHAUL40</v>
      </c>
      <c r="B362" s="81" t="s">
        <v>1199</v>
      </c>
      <c r="C362" s="81" t="s">
        <v>1200</v>
      </c>
      <c r="D362" s="82">
        <v>0</v>
      </c>
      <c r="E362" s="82">
        <v>0</v>
      </c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116"/>
      <c r="S362" s="83">
        <f t="shared" si="161"/>
        <v>0</v>
      </c>
      <c r="T362" s="83">
        <f t="shared" si="161"/>
        <v>0</v>
      </c>
      <c r="U362" s="83">
        <f t="shared" si="168"/>
        <v>0</v>
      </c>
      <c r="V362" s="83">
        <f t="shared" si="168"/>
        <v>0</v>
      </c>
      <c r="W362" s="83">
        <f t="shared" si="168"/>
        <v>0</v>
      </c>
      <c r="X362" s="83">
        <f t="shared" si="168"/>
        <v>0</v>
      </c>
      <c r="Y362" s="83">
        <f t="shared" si="168"/>
        <v>0</v>
      </c>
      <c r="Z362" s="83">
        <f t="shared" si="168"/>
        <v>0</v>
      </c>
      <c r="AA362" s="83">
        <f t="shared" si="168"/>
        <v>0</v>
      </c>
      <c r="AB362" s="83">
        <f t="shared" si="168"/>
        <v>0</v>
      </c>
      <c r="AC362" s="83">
        <f t="shared" si="168"/>
        <v>0</v>
      </c>
      <c r="AD362" s="83">
        <f t="shared" si="168"/>
        <v>0</v>
      </c>
      <c r="AE362" s="83">
        <f t="shared" si="163"/>
        <v>0</v>
      </c>
      <c r="AF362" s="83"/>
      <c r="AH362" s="83"/>
      <c r="AI362" s="83"/>
      <c r="BB362" s="101">
        <f t="shared" si="169"/>
        <v>0</v>
      </c>
      <c r="BD362" s="112">
        <f t="shared" si="164"/>
        <v>0</v>
      </c>
      <c r="BE362" s="136">
        <f t="shared" si="165"/>
        <v>0</v>
      </c>
      <c r="BF362" s="137">
        <f t="shared" si="166"/>
        <v>0</v>
      </c>
      <c r="BG362" s="113">
        <f t="shared" si="167"/>
        <v>0</v>
      </c>
    </row>
    <row r="363" spans="1:59" s="62" customFormat="1" outlineLevel="1" x14ac:dyDescent="0.25">
      <c r="A363" s="62" t="str">
        <f t="shared" si="159"/>
        <v>MURREYSROLLOFFRECYHAUL50</v>
      </c>
      <c r="B363" s="81" t="s">
        <v>1201</v>
      </c>
      <c r="C363" s="81" t="s">
        <v>1202</v>
      </c>
      <c r="D363" s="82">
        <v>0</v>
      </c>
      <c r="E363" s="82">
        <v>0</v>
      </c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116"/>
      <c r="S363" s="83">
        <f t="shared" si="161"/>
        <v>0</v>
      </c>
      <c r="T363" s="83">
        <f t="shared" si="161"/>
        <v>0</v>
      </c>
      <c r="U363" s="83">
        <f t="shared" si="168"/>
        <v>0</v>
      </c>
      <c r="V363" s="83">
        <f t="shared" si="168"/>
        <v>0</v>
      </c>
      <c r="W363" s="83">
        <f t="shared" si="168"/>
        <v>0</v>
      </c>
      <c r="X363" s="83">
        <f t="shared" si="168"/>
        <v>0</v>
      </c>
      <c r="Y363" s="83">
        <f t="shared" si="168"/>
        <v>0</v>
      </c>
      <c r="Z363" s="83">
        <f t="shared" si="168"/>
        <v>0</v>
      </c>
      <c r="AA363" s="83">
        <f t="shared" si="168"/>
        <v>0</v>
      </c>
      <c r="AB363" s="83">
        <f t="shared" si="168"/>
        <v>0</v>
      </c>
      <c r="AC363" s="83">
        <f t="shared" si="168"/>
        <v>0</v>
      </c>
      <c r="AD363" s="83">
        <f t="shared" si="168"/>
        <v>0</v>
      </c>
      <c r="AE363" s="83">
        <f t="shared" si="163"/>
        <v>0</v>
      </c>
      <c r="AF363" s="83"/>
      <c r="AH363" s="83"/>
      <c r="AI363" s="83"/>
      <c r="BB363" s="101">
        <f t="shared" si="169"/>
        <v>0</v>
      </c>
      <c r="BD363" s="112">
        <f t="shared" si="164"/>
        <v>0</v>
      </c>
      <c r="BE363" s="136">
        <f t="shared" si="165"/>
        <v>0</v>
      </c>
      <c r="BF363" s="137">
        <f t="shared" si="166"/>
        <v>0</v>
      </c>
      <c r="BG363" s="113">
        <f t="shared" si="167"/>
        <v>0</v>
      </c>
    </row>
    <row r="364" spans="1:59" s="62" customFormat="1" outlineLevel="1" x14ac:dyDescent="0.25">
      <c r="A364" s="62" t="str">
        <f t="shared" si="159"/>
        <v>MURREYSROLLOFFRECYHAULCOMP</v>
      </c>
      <c r="B364" s="81" t="s">
        <v>1203</v>
      </c>
      <c r="C364" s="81" t="s">
        <v>1204</v>
      </c>
      <c r="D364" s="82">
        <v>0</v>
      </c>
      <c r="E364" s="82">
        <v>0</v>
      </c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116"/>
      <c r="S364" s="83">
        <f t="shared" si="161"/>
        <v>0</v>
      </c>
      <c r="T364" s="83">
        <f t="shared" si="161"/>
        <v>0</v>
      </c>
      <c r="U364" s="83">
        <f t="shared" si="168"/>
        <v>0</v>
      </c>
      <c r="V364" s="83">
        <f t="shared" si="168"/>
        <v>0</v>
      </c>
      <c r="W364" s="83">
        <f t="shared" si="168"/>
        <v>0</v>
      </c>
      <c r="X364" s="83">
        <f t="shared" si="168"/>
        <v>0</v>
      </c>
      <c r="Y364" s="83">
        <f t="shared" si="168"/>
        <v>0</v>
      </c>
      <c r="Z364" s="83">
        <f t="shared" si="168"/>
        <v>0</v>
      </c>
      <c r="AA364" s="83">
        <f t="shared" si="168"/>
        <v>0</v>
      </c>
      <c r="AB364" s="83">
        <f t="shared" si="168"/>
        <v>0</v>
      </c>
      <c r="AC364" s="83">
        <f t="shared" si="168"/>
        <v>0</v>
      </c>
      <c r="AD364" s="83">
        <f t="shared" si="168"/>
        <v>0</v>
      </c>
      <c r="AE364" s="83">
        <f t="shared" si="163"/>
        <v>0</v>
      </c>
      <c r="AF364" s="83"/>
      <c r="AH364" s="83"/>
      <c r="AI364" s="83"/>
      <c r="BB364" s="101">
        <f t="shared" si="169"/>
        <v>0</v>
      </c>
      <c r="BD364" s="112">
        <f t="shared" si="164"/>
        <v>0</v>
      </c>
      <c r="BE364" s="136">
        <f t="shared" si="165"/>
        <v>0</v>
      </c>
      <c r="BF364" s="137">
        <f t="shared" si="166"/>
        <v>0</v>
      </c>
      <c r="BG364" s="113">
        <f t="shared" si="167"/>
        <v>0</v>
      </c>
    </row>
    <row r="365" spans="1:59" s="62" customFormat="1" outlineLevel="1" x14ac:dyDescent="0.25">
      <c r="A365" s="62" t="str">
        <f t="shared" si="159"/>
        <v>MURREYSROLLOFFRECYRENT12</v>
      </c>
      <c r="B365" s="81" t="s">
        <v>1205</v>
      </c>
      <c r="C365" s="81" t="s">
        <v>1206</v>
      </c>
      <c r="D365" s="82">
        <v>0</v>
      </c>
      <c r="E365" s="82">
        <v>0</v>
      </c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116"/>
      <c r="S365" s="83">
        <f t="shared" si="161"/>
        <v>0</v>
      </c>
      <c r="T365" s="83">
        <f t="shared" si="161"/>
        <v>0</v>
      </c>
      <c r="U365" s="83">
        <f t="shared" si="168"/>
        <v>0</v>
      </c>
      <c r="V365" s="83">
        <f t="shared" si="168"/>
        <v>0</v>
      </c>
      <c r="W365" s="83">
        <f t="shared" si="168"/>
        <v>0</v>
      </c>
      <c r="X365" s="83">
        <f t="shared" si="168"/>
        <v>0</v>
      </c>
      <c r="Y365" s="83">
        <f t="shared" si="168"/>
        <v>0</v>
      </c>
      <c r="Z365" s="83">
        <f t="shared" ref="Z365:AD407" si="170">+IFERROR(M365/$E365,0)</f>
        <v>0</v>
      </c>
      <c r="AA365" s="83">
        <f t="shared" si="170"/>
        <v>0</v>
      </c>
      <c r="AB365" s="83">
        <f t="shared" si="170"/>
        <v>0</v>
      </c>
      <c r="AC365" s="83">
        <f t="shared" si="170"/>
        <v>0</v>
      </c>
      <c r="AD365" s="83">
        <f t="shared" si="170"/>
        <v>0</v>
      </c>
      <c r="AE365" s="83">
        <f t="shared" si="163"/>
        <v>0</v>
      </c>
      <c r="AF365" s="83"/>
      <c r="AH365" s="83"/>
      <c r="AI365" s="83"/>
      <c r="BB365" s="101">
        <f t="shared" si="169"/>
        <v>0</v>
      </c>
      <c r="BD365" s="112">
        <f t="shared" si="164"/>
        <v>0</v>
      </c>
      <c r="BE365" s="136">
        <f t="shared" si="165"/>
        <v>0</v>
      </c>
      <c r="BF365" s="137">
        <f t="shared" si="166"/>
        <v>0</v>
      </c>
      <c r="BG365" s="113">
        <f t="shared" si="167"/>
        <v>0</v>
      </c>
    </row>
    <row r="366" spans="1:59" s="62" customFormat="1" outlineLevel="1" x14ac:dyDescent="0.25">
      <c r="A366" s="62" t="str">
        <f t="shared" si="159"/>
        <v>MURREYSROLLOFFRECYRENT15</v>
      </c>
      <c r="B366" s="81" t="s">
        <v>1207</v>
      </c>
      <c r="C366" s="81" t="s">
        <v>1208</v>
      </c>
      <c r="D366" s="82">
        <v>0</v>
      </c>
      <c r="E366" s="82">
        <v>0</v>
      </c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116"/>
      <c r="S366" s="83">
        <f t="shared" si="161"/>
        <v>0</v>
      </c>
      <c r="T366" s="83">
        <f t="shared" si="161"/>
        <v>0</v>
      </c>
      <c r="U366" s="83">
        <f t="shared" ref="U366:Y407" si="171">+IFERROR(H366/$E366,0)</f>
        <v>0</v>
      </c>
      <c r="V366" s="83">
        <f t="shared" si="171"/>
        <v>0</v>
      </c>
      <c r="W366" s="83">
        <f t="shared" si="171"/>
        <v>0</v>
      </c>
      <c r="X366" s="83">
        <f t="shared" si="171"/>
        <v>0</v>
      </c>
      <c r="Y366" s="83">
        <f t="shared" si="171"/>
        <v>0</v>
      </c>
      <c r="Z366" s="83">
        <f t="shared" si="170"/>
        <v>0</v>
      </c>
      <c r="AA366" s="83">
        <f t="shared" si="170"/>
        <v>0</v>
      </c>
      <c r="AB366" s="83">
        <f t="shared" si="170"/>
        <v>0</v>
      </c>
      <c r="AC366" s="83">
        <f t="shared" si="170"/>
        <v>0</v>
      </c>
      <c r="AD366" s="83">
        <f t="shared" si="170"/>
        <v>0</v>
      </c>
      <c r="AE366" s="83">
        <f t="shared" si="163"/>
        <v>0</v>
      </c>
      <c r="AF366" s="83"/>
      <c r="AH366" s="83"/>
      <c r="AI366" s="83"/>
      <c r="BB366" s="101">
        <f t="shared" si="169"/>
        <v>0</v>
      </c>
      <c r="BD366" s="112">
        <f t="shared" si="164"/>
        <v>0</v>
      </c>
      <c r="BE366" s="136">
        <f t="shared" si="165"/>
        <v>0</v>
      </c>
      <c r="BF366" s="137">
        <f t="shared" si="166"/>
        <v>0</v>
      </c>
      <c r="BG366" s="113">
        <f t="shared" si="167"/>
        <v>0</v>
      </c>
    </row>
    <row r="367" spans="1:59" s="62" customFormat="1" outlineLevel="1" x14ac:dyDescent="0.25">
      <c r="A367" s="62" t="str">
        <f t="shared" si="159"/>
        <v>MURREYSROLLOFFRECYRENT20</v>
      </c>
      <c r="B367" s="81" t="s">
        <v>1209</v>
      </c>
      <c r="C367" s="81" t="s">
        <v>1210</v>
      </c>
      <c r="D367" s="82">
        <v>0</v>
      </c>
      <c r="E367" s="82">
        <v>0</v>
      </c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116"/>
      <c r="S367" s="83">
        <f t="shared" si="161"/>
        <v>0</v>
      </c>
      <c r="T367" s="83">
        <f t="shared" si="161"/>
        <v>0</v>
      </c>
      <c r="U367" s="83">
        <f t="shared" si="171"/>
        <v>0</v>
      </c>
      <c r="V367" s="83">
        <f t="shared" si="171"/>
        <v>0</v>
      </c>
      <c r="W367" s="83">
        <f t="shared" si="171"/>
        <v>0</v>
      </c>
      <c r="X367" s="83">
        <f t="shared" si="171"/>
        <v>0</v>
      </c>
      <c r="Y367" s="83">
        <f t="shared" si="171"/>
        <v>0</v>
      </c>
      <c r="Z367" s="83">
        <f t="shared" si="170"/>
        <v>0</v>
      </c>
      <c r="AA367" s="83">
        <f t="shared" si="170"/>
        <v>0</v>
      </c>
      <c r="AB367" s="83">
        <f t="shared" si="170"/>
        <v>0</v>
      </c>
      <c r="AC367" s="83">
        <f t="shared" si="170"/>
        <v>0</v>
      </c>
      <c r="AD367" s="83">
        <f t="shared" si="170"/>
        <v>0</v>
      </c>
      <c r="AE367" s="83">
        <f t="shared" si="163"/>
        <v>0</v>
      </c>
      <c r="AF367" s="83"/>
      <c r="AH367" s="83"/>
      <c r="AI367" s="83"/>
      <c r="BB367" s="101">
        <f t="shared" si="169"/>
        <v>0</v>
      </c>
      <c r="BD367" s="112">
        <f t="shared" si="164"/>
        <v>0</v>
      </c>
      <c r="BE367" s="136">
        <f t="shared" si="165"/>
        <v>0</v>
      </c>
      <c r="BF367" s="137">
        <f t="shared" si="166"/>
        <v>0</v>
      </c>
      <c r="BG367" s="113">
        <f t="shared" si="167"/>
        <v>0</v>
      </c>
    </row>
    <row r="368" spans="1:59" s="62" customFormat="1" outlineLevel="1" x14ac:dyDescent="0.25">
      <c r="A368" s="62" t="str">
        <f t="shared" si="159"/>
        <v>MURREYSROLLOFFRECYRENT25</v>
      </c>
      <c r="B368" s="81" t="s">
        <v>1211</v>
      </c>
      <c r="C368" s="81" t="s">
        <v>1212</v>
      </c>
      <c r="D368" s="82">
        <v>0</v>
      </c>
      <c r="E368" s="82">
        <v>0</v>
      </c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116"/>
      <c r="S368" s="83">
        <f t="shared" si="161"/>
        <v>0</v>
      </c>
      <c r="T368" s="83">
        <f t="shared" si="161"/>
        <v>0</v>
      </c>
      <c r="U368" s="83">
        <f t="shared" si="171"/>
        <v>0</v>
      </c>
      <c r="V368" s="83">
        <f t="shared" si="171"/>
        <v>0</v>
      </c>
      <c r="W368" s="83">
        <f t="shared" si="171"/>
        <v>0</v>
      </c>
      <c r="X368" s="83">
        <f t="shared" si="171"/>
        <v>0</v>
      </c>
      <c r="Y368" s="83">
        <f t="shared" si="171"/>
        <v>0</v>
      </c>
      <c r="Z368" s="83">
        <f t="shared" si="170"/>
        <v>0</v>
      </c>
      <c r="AA368" s="83">
        <f t="shared" si="170"/>
        <v>0</v>
      </c>
      <c r="AB368" s="83">
        <f t="shared" si="170"/>
        <v>0</v>
      </c>
      <c r="AC368" s="83">
        <f t="shared" si="170"/>
        <v>0</v>
      </c>
      <c r="AD368" s="83">
        <f t="shared" si="170"/>
        <v>0</v>
      </c>
      <c r="AE368" s="83">
        <f t="shared" si="163"/>
        <v>0</v>
      </c>
      <c r="AF368" s="83"/>
      <c r="AH368" s="83"/>
      <c r="AI368" s="83"/>
      <c r="BB368" s="101">
        <f t="shared" si="169"/>
        <v>0</v>
      </c>
      <c r="BD368" s="112">
        <f t="shared" si="164"/>
        <v>0</v>
      </c>
      <c r="BE368" s="136">
        <f t="shared" si="165"/>
        <v>0</v>
      </c>
      <c r="BF368" s="137">
        <f t="shared" si="166"/>
        <v>0</v>
      </c>
      <c r="BG368" s="113">
        <f t="shared" si="167"/>
        <v>0</v>
      </c>
    </row>
    <row r="369" spans="1:59" s="62" customFormat="1" outlineLevel="1" x14ac:dyDescent="0.25">
      <c r="A369" s="62" t="str">
        <f t="shared" si="159"/>
        <v>MURREYSROLLOFFRECYRENT30</v>
      </c>
      <c r="B369" s="81" t="s">
        <v>1213</v>
      </c>
      <c r="C369" s="81" t="s">
        <v>1214</v>
      </c>
      <c r="D369" s="82">
        <v>0</v>
      </c>
      <c r="E369" s="82">
        <v>0</v>
      </c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116"/>
      <c r="S369" s="83">
        <f t="shared" si="161"/>
        <v>0</v>
      </c>
      <c r="T369" s="83">
        <f t="shared" si="161"/>
        <v>0</v>
      </c>
      <c r="U369" s="83">
        <f t="shared" si="171"/>
        <v>0</v>
      </c>
      <c r="V369" s="83">
        <f t="shared" si="171"/>
        <v>0</v>
      </c>
      <c r="W369" s="83">
        <f t="shared" si="171"/>
        <v>0</v>
      </c>
      <c r="X369" s="83">
        <f t="shared" si="171"/>
        <v>0</v>
      </c>
      <c r="Y369" s="83">
        <f t="shared" si="171"/>
        <v>0</v>
      </c>
      <c r="Z369" s="83">
        <f t="shared" si="170"/>
        <v>0</v>
      </c>
      <c r="AA369" s="83">
        <f t="shared" si="170"/>
        <v>0</v>
      </c>
      <c r="AB369" s="83">
        <f t="shared" si="170"/>
        <v>0</v>
      </c>
      <c r="AC369" s="83">
        <f t="shared" si="170"/>
        <v>0</v>
      </c>
      <c r="AD369" s="83">
        <f t="shared" si="170"/>
        <v>0</v>
      </c>
      <c r="AE369" s="83">
        <f t="shared" si="163"/>
        <v>0</v>
      </c>
      <c r="AF369" s="83"/>
      <c r="AH369" s="83"/>
      <c r="AI369" s="83"/>
      <c r="BB369" s="101">
        <f t="shared" si="169"/>
        <v>0</v>
      </c>
      <c r="BD369" s="112">
        <f t="shared" si="164"/>
        <v>0</v>
      </c>
      <c r="BE369" s="136">
        <f t="shared" si="165"/>
        <v>0</v>
      </c>
      <c r="BF369" s="137">
        <f t="shared" si="166"/>
        <v>0</v>
      </c>
      <c r="BG369" s="113">
        <f t="shared" si="167"/>
        <v>0</v>
      </c>
    </row>
    <row r="370" spans="1:59" s="62" customFormat="1" outlineLevel="1" x14ac:dyDescent="0.25">
      <c r="A370" s="62" t="str">
        <f t="shared" si="159"/>
        <v>MURREYSROLLOFFRECYRENT40</v>
      </c>
      <c r="B370" s="81" t="s">
        <v>1215</v>
      </c>
      <c r="C370" s="81" t="s">
        <v>1216</v>
      </c>
      <c r="D370" s="82">
        <v>0</v>
      </c>
      <c r="E370" s="82">
        <v>0</v>
      </c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116"/>
      <c r="S370" s="83">
        <f t="shared" si="161"/>
        <v>0</v>
      </c>
      <c r="T370" s="83">
        <f t="shared" si="161"/>
        <v>0</v>
      </c>
      <c r="U370" s="83">
        <f t="shared" si="171"/>
        <v>0</v>
      </c>
      <c r="V370" s="83">
        <f t="shared" si="171"/>
        <v>0</v>
      </c>
      <c r="W370" s="83">
        <f t="shared" si="171"/>
        <v>0</v>
      </c>
      <c r="X370" s="83">
        <f t="shared" si="171"/>
        <v>0</v>
      </c>
      <c r="Y370" s="83">
        <f t="shared" si="171"/>
        <v>0</v>
      </c>
      <c r="Z370" s="83">
        <f t="shared" si="170"/>
        <v>0</v>
      </c>
      <c r="AA370" s="83">
        <f t="shared" si="170"/>
        <v>0</v>
      </c>
      <c r="AB370" s="83">
        <f t="shared" si="170"/>
        <v>0</v>
      </c>
      <c r="AC370" s="83">
        <f t="shared" si="170"/>
        <v>0</v>
      </c>
      <c r="AD370" s="83">
        <f t="shared" si="170"/>
        <v>0</v>
      </c>
      <c r="AE370" s="83">
        <f t="shared" si="163"/>
        <v>0</v>
      </c>
      <c r="AF370" s="83"/>
      <c r="AH370" s="83"/>
      <c r="AI370" s="83"/>
      <c r="BB370" s="101">
        <f t="shared" si="169"/>
        <v>0</v>
      </c>
      <c r="BD370" s="112">
        <f t="shared" si="164"/>
        <v>0</v>
      </c>
      <c r="BE370" s="136">
        <f t="shared" si="165"/>
        <v>0</v>
      </c>
      <c r="BF370" s="137">
        <f t="shared" si="166"/>
        <v>0</v>
      </c>
      <c r="BG370" s="113">
        <f t="shared" si="167"/>
        <v>0</v>
      </c>
    </row>
    <row r="371" spans="1:59" s="62" customFormat="1" outlineLevel="1" x14ac:dyDescent="0.25">
      <c r="A371" s="62" t="str">
        <f t="shared" si="159"/>
        <v>MURREYSROLLOFFRECYRENT50</v>
      </c>
      <c r="B371" s="81" t="s">
        <v>1217</v>
      </c>
      <c r="C371" s="81" t="s">
        <v>1218</v>
      </c>
      <c r="D371" s="82">
        <v>0</v>
      </c>
      <c r="E371" s="82">
        <v>0</v>
      </c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116"/>
      <c r="S371" s="83">
        <f t="shared" si="161"/>
        <v>0</v>
      </c>
      <c r="T371" s="83">
        <f t="shared" si="161"/>
        <v>0</v>
      </c>
      <c r="U371" s="83">
        <f t="shared" si="171"/>
        <v>0</v>
      </c>
      <c r="V371" s="83">
        <f t="shared" si="171"/>
        <v>0</v>
      </c>
      <c r="W371" s="83">
        <f t="shared" si="171"/>
        <v>0</v>
      </c>
      <c r="X371" s="83">
        <f t="shared" si="171"/>
        <v>0</v>
      </c>
      <c r="Y371" s="83">
        <f t="shared" si="171"/>
        <v>0</v>
      </c>
      <c r="Z371" s="83">
        <f t="shared" si="170"/>
        <v>0</v>
      </c>
      <c r="AA371" s="83">
        <f t="shared" si="170"/>
        <v>0</v>
      </c>
      <c r="AB371" s="83">
        <f t="shared" si="170"/>
        <v>0</v>
      </c>
      <c r="AC371" s="83">
        <f t="shared" si="170"/>
        <v>0</v>
      </c>
      <c r="AD371" s="83">
        <f t="shared" si="170"/>
        <v>0</v>
      </c>
      <c r="AE371" s="83">
        <f t="shared" si="163"/>
        <v>0</v>
      </c>
      <c r="AF371" s="83"/>
      <c r="AH371" s="83"/>
      <c r="AI371" s="83"/>
      <c r="BB371" s="101">
        <f t="shared" si="169"/>
        <v>0</v>
      </c>
      <c r="BD371" s="112">
        <f t="shared" si="164"/>
        <v>0</v>
      </c>
      <c r="BE371" s="136">
        <f t="shared" si="165"/>
        <v>0</v>
      </c>
      <c r="BF371" s="137">
        <f t="shared" si="166"/>
        <v>0</v>
      </c>
      <c r="BG371" s="113">
        <f t="shared" si="167"/>
        <v>0</v>
      </c>
    </row>
    <row r="372" spans="1:59" s="62" customFormat="1" outlineLevel="1" x14ac:dyDescent="0.25">
      <c r="A372" s="62" t="str">
        <f t="shared" si="159"/>
        <v>MURREYSROLLOFFRECYWPROC100</v>
      </c>
      <c r="B372" s="81" t="s">
        <v>1219</v>
      </c>
      <c r="C372" s="81" t="s">
        <v>1220</v>
      </c>
      <c r="D372" s="82">
        <v>0</v>
      </c>
      <c r="E372" s="82">
        <v>0</v>
      </c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116"/>
      <c r="S372" s="83">
        <f t="shared" si="161"/>
        <v>0</v>
      </c>
      <c r="T372" s="83">
        <f t="shared" si="161"/>
        <v>0</v>
      </c>
      <c r="U372" s="83">
        <f t="shared" si="171"/>
        <v>0</v>
      </c>
      <c r="V372" s="83">
        <f t="shared" si="171"/>
        <v>0</v>
      </c>
      <c r="W372" s="83">
        <f t="shared" si="171"/>
        <v>0</v>
      </c>
      <c r="X372" s="83">
        <f t="shared" si="171"/>
        <v>0</v>
      </c>
      <c r="Y372" s="83">
        <f t="shared" si="171"/>
        <v>0</v>
      </c>
      <c r="Z372" s="83">
        <f t="shared" si="170"/>
        <v>0</v>
      </c>
      <c r="AA372" s="83">
        <f t="shared" si="170"/>
        <v>0</v>
      </c>
      <c r="AB372" s="83">
        <f t="shared" si="170"/>
        <v>0</v>
      </c>
      <c r="AC372" s="83">
        <f t="shared" si="170"/>
        <v>0</v>
      </c>
      <c r="AD372" s="83">
        <f t="shared" si="170"/>
        <v>0</v>
      </c>
      <c r="AE372" s="83">
        <f t="shared" si="163"/>
        <v>0</v>
      </c>
      <c r="AF372" s="83"/>
      <c r="AH372" s="83"/>
      <c r="AI372" s="83"/>
      <c r="BB372" s="101">
        <f t="shared" si="169"/>
        <v>0</v>
      </c>
      <c r="BD372" s="112">
        <f t="shared" si="164"/>
        <v>0</v>
      </c>
      <c r="BE372" s="136">
        <f t="shared" si="165"/>
        <v>0</v>
      </c>
      <c r="BF372" s="137">
        <f t="shared" si="166"/>
        <v>0</v>
      </c>
      <c r="BG372" s="113">
        <f t="shared" si="167"/>
        <v>0</v>
      </c>
    </row>
    <row r="373" spans="1:59" s="62" customFormat="1" outlineLevel="1" x14ac:dyDescent="0.25">
      <c r="A373" s="62" t="str">
        <f t="shared" si="159"/>
        <v>MURREYSROLLOFFRECYWPROC20</v>
      </c>
      <c r="B373" s="81" t="s">
        <v>1221</v>
      </c>
      <c r="C373" s="81" t="s">
        <v>1222</v>
      </c>
      <c r="D373" s="82">
        <v>0</v>
      </c>
      <c r="E373" s="82">
        <v>0</v>
      </c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116"/>
      <c r="S373" s="83">
        <f t="shared" si="161"/>
        <v>0</v>
      </c>
      <c r="T373" s="83">
        <f t="shared" si="161"/>
        <v>0</v>
      </c>
      <c r="U373" s="83">
        <f t="shared" si="171"/>
        <v>0</v>
      </c>
      <c r="V373" s="83">
        <f t="shared" si="171"/>
        <v>0</v>
      </c>
      <c r="W373" s="83">
        <f t="shared" si="171"/>
        <v>0</v>
      </c>
      <c r="X373" s="83">
        <f t="shared" si="171"/>
        <v>0</v>
      </c>
      <c r="Y373" s="83">
        <f t="shared" si="171"/>
        <v>0</v>
      </c>
      <c r="Z373" s="83">
        <f t="shared" si="170"/>
        <v>0</v>
      </c>
      <c r="AA373" s="83">
        <f t="shared" si="170"/>
        <v>0</v>
      </c>
      <c r="AB373" s="83">
        <f t="shared" si="170"/>
        <v>0</v>
      </c>
      <c r="AC373" s="83">
        <f t="shared" si="170"/>
        <v>0</v>
      </c>
      <c r="AD373" s="83">
        <f t="shared" si="170"/>
        <v>0</v>
      </c>
      <c r="AE373" s="83">
        <f t="shared" si="163"/>
        <v>0</v>
      </c>
      <c r="AF373" s="83"/>
      <c r="AH373" s="83"/>
      <c r="AI373" s="83"/>
      <c r="BB373" s="101">
        <f t="shared" si="169"/>
        <v>0</v>
      </c>
      <c r="BD373" s="112">
        <f t="shared" si="164"/>
        <v>0</v>
      </c>
      <c r="BE373" s="136">
        <f t="shared" si="165"/>
        <v>0</v>
      </c>
      <c r="BF373" s="137">
        <f t="shared" si="166"/>
        <v>0</v>
      </c>
      <c r="BG373" s="113">
        <f t="shared" si="167"/>
        <v>0</v>
      </c>
    </row>
    <row r="374" spans="1:59" s="62" customFormat="1" outlineLevel="1" x14ac:dyDescent="0.25">
      <c r="A374" s="62" t="str">
        <f t="shared" si="159"/>
        <v>MURREYSROLLOFFRECYWPROC25</v>
      </c>
      <c r="B374" s="81" t="s">
        <v>1223</v>
      </c>
      <c r="C374" s="81" t="s">
        <v>1224</v>
      </c>
      <c r="D374" s="82">
        <v>0</v>
      </c>
      <c r="E374" s="82">
        <v>0</v>
      </c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116"/>
      <c r="S374" s="83">
        <f t="shared" si="161"/>
        <v>0</v>
      </c>
      <c r="T374" s="83">
        <f t="shared" si="161"/>
        <v>0</v>
      </c>
      <c r="U374" s="83">
        <f t="shared" si="171"/>
        <v>0</v>
      </c>
      <c r="V374" s="83">
        <f t="shared" si="171"/>
        <v>0</v>
      </c>
      <c r="W374" s="83">
        <f t="shared" si="171"/>
        <v>0</v>
      </c>
      <c r="X374" s="83">
        <f t="shared" si="171"/>
        <v>0</v>
      </c>
      <c r="Y374" s="83">
        <f t="shared" si="171"/>
        <v>0</v>
      </c>
      <c r="Z374" s="83">
        <f t="shared" si="170"/>
        <v>0</v>
      </c>
      <c r="AA374" s="83">
        <f t="shared" si="170"/>
        <v>0</v>
      </c>
      <c r="AB374" s="83">
        <f t="shared" si="170"/>
        <v>0</v>
      </c>
      <c r="AC374" s="83">
        <f t="shared" si="170"/>
        <v>0</v>
      </c>
      <c r="AD374" s="83">
        <f t="shared" si="170"/>
        <v>0</v>
      </c>
      <c r="AE374" s="83">
        <f t="shared" si="163"/>
        <v>0</v>
      </c>
      <c r="AF374" s="83"/>
      <c r="AH374" s="83"/>
      <c r="AI374" s="83"/>
      <c r="BB374" s="101">
        <f t="shared" si="169"/>
        <v>0</v>
      </c>
      <c r="BD374" s="112">
        <f t="shared" si="164"/>
        <v>0</v>
      </c>
      <c r="BE374" s="136">
        <f t="shared" si="165"/>
        <v>0</v>
      </c>
      <c r="BF374" s="137">
        <f t="shared" si="166"/>
        <v>0</v>
      </c>
      <c r="BG374" s="113">
        <f t="shared" si="167"/>
        <v>0</v>
      </c>
    </row>
    <row r="375" spans="1:59" s="62" customFormat="1" outlineLevel="1" x14ac:dyDescent="0.25">
      <c r="A375" s="62" t="str">
        <f t="shared" si="159"/>
        <v>MURREYSROLLOFFRECYWPROC30</v>
      </c>
      <c r="B375" s="81" t="s">
        <v>1225</v>
      </c>
      <c r="C375" s="81" t="s">
        <v>1226</v>
      </c>
      <c r="D375" s="82">
        <v>0</v>
      </c>
      <c r="E375" s="82">
        <v>0</v>
      </c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116"/>
      <c r="S375" s="83">
        <f t="shared" si="161"/>
        <v>0</v>
      </c>
      <c r="T375" s="83">
        <f t="shared" si="161"/>
        <v>0</v>
      </c>
      <c r="U375" s="83">
        <f t="shared" si="171"/>
        <v>0</v>
      </c>
      <c r="V375" s="83">
        <f t="shared" si="171"/>
        <v>0</v>
      </c>
      <c r="W375" s="83">
        <f t="shared" si="171"/>
        <v>0</v>
      </c>
      <c r="X375" s="83">
        <f t="shared" si="171"/>
        <v>0</v>
      </c>
      <c r="Y375" s="83">
        <f t="shared" si="171"/>
        <v>0</v>
      </c>
      <c r="Z375" s="83">
        <f t="shared" si="170"/>
        <v>0</v>
      </c>
      <c r="AA375" s="83">
        <f t="shared" si="170"/>
        <v>0</v>
      </c>
      <c r="AB375" s="83">
        <f t="shared" si="170"/>
        <v>0</v>
      </c>
      <c r="AC375" s="83">
        <f t="shared" si="170"/>
        <v>0</v>
      </c>
      <c r="AD375" s="83">
        <f t="shared" si="170"/>
        <v>0</v>
      </c>
      <c r="AE375" s="83">
        <f t="shared" si="163"/>
        <v>0</v>
      </c>
      <c r="AF375" s="83"/>
      <c r="AH375" s="83"/>
      <c r="AI375" s="83"/>
      <c r="BB375" s="101">
        <f t="shared" si="169"/>
        <v>0</v>
      </c>
      <c r="BD375" s="112">
        <f t="shared" si="164"/>
        <v>0</v>
      </c>
      <c r="BE375" s="136">
        <f t="shared" si="165"/>
        <v>0</v>
      </c>
      <c r="BF375" s="137">
        <f t="shared" si="166"/>
        <v>0</v>
      </c>
      <c r="BG375" s="113">
        <f t="shared" si="167"/>
        <v>0</v>
      </c>
    </row>
    <row r="376" spans="1:59" s="62" customFormat="1" outlineLevel="1" x14ac:dyDescent="0.25">
      <c r="A376" s="62" t="str">
        <f t="shared" si="159"/>
        <v>MURREYSROLLOFFRECYWPROC40</v>
      </c>
      <c r="B376" s="81" t="s">
        <v>1227</v>
      </c>
      <c r="C376" s="81" t="s">
        <v>1228</v>
      </c>
      <c r="D376" s="82">
        <v>0</v>
      </c>
      <c r="E376" s="82">
        <v>0</v>
      </c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116"/>
      <c r="S376" s="83">
        <f t="shared" si="161"/>
        <v>0</v>
      </c>
      <c r="T376" s="83">
        <f t="shared" si="161"/>
        <v>0</v>
      </c>
      <c r="U376" s="83">
        <f t="shared" si="171"/>
        <v>0</v>
      </c>
      <c r="V376" s="83">
        <f t="shared" si="171"/>
        <v>0</v>
      </c>
      <c r="W376" s="83">
        <f t="shared" si="171"/>
        <v>0</v>
      </c>
      <c r="X376" s="83">
        <f t="shared" si="171"/>
        <v>0</v>
      </c>
      <c r="Y376" s="83">
        <f t="shared" si="171"/>
        <v>0</v>
      </c>
      <c r="Z376" s="83">
        <f t="shared" si="170"/>
        <v>0</v>
      </c>
      <c r="AA376" s="83">
        <f t="shared" si="170"/>
        <v>0</v>
      </c>
      <c r="AB376" s="83">
        <f t="shared" si="170"/>
        <v>0</v>
      </c>
      <c r="AC376" s="83">
        <f t="shared" si="170"/>
        <v>0</v>
      </c>
      <c r="AD376" s="83">
        <f t="shared" si="170"/>
        <v>0</v>
      </c>
      <c r="AE376" s="83">
        <f t="shared" si="163"/>
        <v>0</v>
      </c>
      <c r="AF376" s="83"/>
      <c r="AH376" s="83"/>
      <c r="AI376" s="83"/>
      <c r="BB376" s="101">
        <f t="shared" si="169"/>
        <v>0</v>
      </c>
      <c r="BD376" s="112">
        <f t="shared" si="164"/>
        <v>0</v>
      </c>
      <c r="BE376" s="136">
        <f t="shared" si="165"/>
        <v>0</v>
      </c>
      <c r="BF376" s="137">
        <f t="shared" si="166"/>
        <v>0</v>
      </c>
      <c r="BG376" s="113">
        <f t="shared" si="167"/>
        <v>0</v>
      </c>
    </row>
    <row r="377" spans="1:59" s="62" customFormat="1" outlineLevel="1" x14ac:dyDescent="0.25">
      <c r="A377" s="62" t="str">
        <f t="shared" si="159"/>
        <v>MURREYSROLLOFFRECYWPROC50</v>
      </c>
      <c r="B377" s="81" t="s">
        <v>1229</v>
      </c>
      <c r="C377" s="81" t="s">
        <v>1230</v>
      </c>
      <c r="D377" s="82">
        <v>0</v>
      </c>
      <c r="E377" s="82">
        <v>0</v>
      </c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116"/>
      <c r="S377" s="83">
        <f t="shared" si="161"/>
        <v>0</v>
      </c>
      <c r="T377" s="83">
        <f t="shared" si="161"/>
        <v>0</v>
      </c>
      <c r="U377" s="83">
        <f t="shared" si="171"/>
        <v>0</v>
      </c>
      <c r="V377" s="83">
        <f t="shared" si="171"/>
        <v>0</v>
      </c>
      <c r="W377" s="83">
        <f t="shared" si="171"/>
        <v>0</v>
      </c>
      <c r="X377" s="83">
        <f t="shared" si="171"/>
        <v>0</v>
      </c>
      <c r="Y377" s="83">
        <f t="shared" si="171"/>
        <v>0</v>
      </c>
      <c r="Z377" s="83">
        <f t="shared" si="170"/>
        <v>0</v>
      </c>
      <c r="AA377" s="83">
        <f t="shared" si="170"/>
        <v>0</v>
      </c>
      <c r="AB377" s="83">
        <f t="shared" si="170"/>
        <v>0</v>
      </c>
      <c r="AC377" s="83">
        <f t="shared" si="170"/>
        <v>0</v>
      </c>
      <c r="AD377" s="83">
        <f t="shared" si="170"/>
        <v>0</v>
      </c>
      <c r="AE377" s="83">
        <f t="shared" si="163"/>
        <v>0</v>
      </c>
      <c r="AF377" s="83"/>
      <c r="AH377" s="83"/>
      <c r="AI377" s="83"/>
      <c r="BB377" s="101">
        <f t="shared" si="169"/>
        <v>0</v>
      </c>
      <c r="BD377" s="112">
        <f t="shared" si="164"/>
        <v>0</v>
      </c>
      <c r="BE377" s="136">
        <f t="shared" si="165"/>
        <v>0</v>
      </c>
      <c r="BF377" s="137">
        <f t="shared" si="166"/>
        <v>0</v>
      </c>
      <c r="BG377" s="113">
        <f t="shared" si="167"/>
        <v>0</v>
      </c>
    </row>
    <row r="378" spans="1:59" s="62" customFormat="1" outlineLevel="1" x14ac:dyDescent="0.25">
      <c r="A378" s="62" t="str">
        <f t="shared" si="159"/>
        <v>MURREYSROLLOFFRECYWPROCSD</v>
      </c>
      <c r="B378" s="81" t="s">
        <v>1231</v>
      </c>
      <c r="C378" s="81" t="s">
        <v>1232</v>
      </c>
      <c r="D378" s="82">
        <v>0</v>
      </c>
      <c r="E378" s="82">
        <v>0</v>
      </c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116"/>
      <c r="S378" s="83">
        <f t="shared" si="161"/>
        <v>0</v>
      </c>
      <c r="T378" s="83">
        <f t="shared" si="161"/>
        <v>0</v>
      </c>
      <c r="U378" s="83">
        <f t="shared" si="171"/>
        <v>0</v>
      </c>
      <c r="V378" s="83">
        <f t="shared" si="171"/>
        <v>0</v>
      </c>
      <c r="W378" s="83">
        <f t="shared" si="171"/>
        <v>0</v>
      </c>
      <c r="X378" s="83">
        <f t="shared" si="171"/>
        <v>0</v>
      </c>
      <c r="Y378" s="83">
        <f t="shared" si="171"/>
        <v>0</v>
      </c>
      <c r="Z378" s="83">
        <f t="shared" si="170"/>
        <v>0</v>
      </c>
      <c r="AA378" s="83">
        <f t="shared" si="170"/>
        <v>0</v>
      </c>
      <c r="AB378" s="83">
        <f t="shared" si="170"/>
        <v>0</v>
      </c>
      <c r="AC378" s="83">
        <f t="shared" si="170"/>
        <v>0</v>
      </c>
      <c r="AD378" s="83">
        <f t="shared" si="170"/>
        <v>0</v>
      </c>
      <c r="AE378" s="83">
        <f t="shared" si="163"/>
        <v>0</v>
      </c>
      <c r="AF378" s="83"/>
      <c r="AH378" s="83"/>
      <c r="AI378" s="83"/>
      <c r="BB378" s="101">
        <f t="shared" si="169"/>
        <v>0</v>
      </c>
      <c r="BD378" s="112">
        <f t="shared" si="164"/>
        <v>0</v>
      </c>
      <c r="BE378" s="136">
        <f t="shared" si="165"/>
        <v>0</v>
      </c>
      <c r="BF378" s="137">
        <f t="shared" si="166"/>
        <v>0</v>
      </c>
      <c r="BG378" s="113">
        <f t="shared" si="167"/>
        <v>0</v>
      </c>
    </row>
    <row r="379" spans="1:59" s="62" customFormat="1" outlineLevel="1" x14ac:dyDescent="0.25">
      <c r="A379" s="62" t="str">
        <f t="shared" si="159"/>
        <v>MURREYSROLLOFFRORHAULHR12</v>
      </c>
      <c r="B379" s="81" t="s">
        <v>1233</v>
      </c>
      <c r="C379" s="81" t="s">
        <v>1234</v>
      </c>
      <c r="D379" s="82">
        <v>0</v>
      </c>
      <c r="E379" s="82">
        <v>0</v>
      </c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116"/>
      <c r="S379" s="83">
        <f t="shared" si="161"/>
        <v>0</v>
      </c>
      <c r="T379" s="83">
        <f t="shared" si="161"/>
        <v>0</v>
      </c>
      <c r="U379" s="83">
        <f t="shared" si="171"/>
        <v>0</v>
      </c>
      <c r="V379" s="83">
        <f t="shared" si="171"/>
        <v>0</v>
      </c>
      <c r="W379" s="83">
        <f t="shared" si="171"/>
        <v>0</v>
      </c>
      <c r="X379" s="83">
        <f t="shared" si="171"/>
        <v>0</v>
      </c>
      <c r="Y379" s="83">
        <f t="shared" si="171"/>
        <v>0</v>
      </c>
      <c r="Z379" s="83">
        <f t="shared" si="170"/>
        <v>0</v>
      </c>
      <c r="AA379" s="83">
        <f t="shared" si="170"/>
        <v>0</v>
      </c>
      <c r="AB379" s="83">
        <f t="shared" si="170"/>
        <v>0</v>
      </c>
      <c r="AC379" s="83">
        <f t="shared" si="170"/>
        <v>0</v>
      </c>
      <c r="AD379" s="83">
        <f t="shared" si="170"/>
        <v>0</v>
      </c>
      <c r="AE379" s="83">
        <f t="shared" si="163"/>
        <v>0</v>
      </c>
      <c r="AF379" s="83"/>
      <c r="AH379" s="83"/>
      <c r="AI379" s="83"/>
      <c r="BB379" s="101">
        <f t="shared" si="169"/>
        <v>0</v>
      </c>
      <c r="BD379" s="112">
        <f t="shared" si="164"/>
        <v>0</v>
      </c>
      <c r="BE379" s="136">
        <f t="shared" si="165"/>
        <v>0</v>
      </c>
      <c r="BF379" s="137">
        <f t="shared" si="166"/>
        <v>0</v>
      </c>
      <c r="BG379" s="113">
        <f t="shared" si="167"/>
        <v>0</v>
      </c>
    </row>
    <row r="380" spans="1:59" s="62" customFormat="1" outlineLevel="1" x14ac:dyDescent="0.25">
      <c r="A380" s="62" t="str">
        <f t="shared" si="159"/>
        <v>MURREYSROLLOFFRORHAULHR15</v>
      </c>
      <c r="B380" s="81" t="s">
        <v>1235</v>
      </c>
      <c r="C380" s="81" t="s">
        <v>1236</v>
      </c>
      <c r="D380" s="82">
        <v>0</v>
      </c>
      <c r="E380" s="82">
        <v>0</v>
      </c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116"/>
      <c r="S380" s="83">
        <f t="shared" si="161"/>
        <v>0</v>
      </c>
      <c r="T380" s="83">
        <f t="shared" si="161"/>
        <v>0</v>
      </c>
      <c r="U380" s="83">
        <f t="shared" si="171"/>
        <v>0</v>
      </c>
      <c r="V380" s="83">
        <f t="shared" si="171"/>
        <v>0</v>
      </c>
      <c r="W380" s="83">
        <f t="shared" si="171"/>
        <v>0</v>
      </c>
      <c r="X380" s="83">
        <f t="shared" si="171"/>
        <v>0</v>
      </c>
      <c r="Y380" s="83">
        <f t="shared" si="171"/>
        <v>0</v>
      </c>
      <c r="Z380" s="83">
        <f t="shared" si="170"/>
        <v>0</v>
      </c>
      <c r="AA380" s="83">
        <f t="shared" si="170"/>
        <v>0</v>
      </c>
      <c r="AB380" s="83">
        <f t="shared" si="170"/>
        <v>0</v>
      </c>
      <c r="AC380" s="83">
        <f t="shared" si="170"/>
        <v>0</v>
      </c>
      <c r="AD380" s="83">
        <f t="shared" si="170"/>
        <v>0</v>
      </c>
      <c r="AE380" s="83">
        <f t="shared" si="163"/>
        <v>0</v>
      </c>
      <c r="AF380" s="83"/>
      <c r="AH380" s="83"/>
      <c r="AI380" s="83"/>
      <c r="BB380" s="101">
        <f t="shared" si="169"/>
        <v>0</v>
      </c>
      <c r="BD380" s="112">
        <f t="shared" si="164"/>
        <v>0</v>
      </c>
      <c r="BE380" s="136">
        <f t="shared" si="165"/>
        <v>0</v>
      </c>
      <c r="BF380" s="137">
        <f t="shared" si="166"/>
        <v>0</v>
      </c>
      <c r="BG380" s="113">
        <f t="shared" si="167"/>
        <v>0</v>
      </c>
    </row>
    <row r="381" spans="1:59" s="62" customFormat="1" outlineLevel="1" x14ac:dyDescent="0.25">
      <c r="A381" s="62" t="str">
        <f t="shared" si="159"/>
        <v>MURREYSROLLOFFRORHAULHR20</v>
      </c>
      <c r="B381" s="81" t="s">
        <v>1237</v>
      </c>
      <c r="C381" s="81" t="s">
        <v>1238</v>
      </c>
      <c r="D381" s="82">
        <v>0</v>
      </c>
      <c r="E381" s="82">
        <v>0</v>
      </c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116"/>
      <c r="S381" s="83">
        <f t="shared" si="161"/>
        <v>0</v>
      </c>
      <c r="T381" s="83">
        <f t="shared" si="161"/>
        <v>0</v>
      </c>
      <c r="U381" s="83">
        <f t="shared" si="171"/>
        <v>0</v>
      </c>
      <c r="V381" s="83">
        <f t="shared" si="171"/>
        <v>0</v>
      </c>
      <c r="W381" s="83">
        <f t="shared" si="171"/>
        <v>0</v>
      </c>
      <c r="X381" s="83">
        <f t="shared" si="171"/>
        <v>0</v>
      </c>
      <c r="Y381" s="83">
        <f t="shared" si="171"/>
        <v>0</v>
      </c>
      <c r="Z381" s="83">
        <f t="shared" si="170"/>
        <v>0</v>
      </c>
      <c r="AA381" s="83">
        <f t="shared" si="170"/>
        <v>0</v>
      </c>
      <c r="AB381" s="83">
        <f t="shared" si="170"/>
        <v>0</v>
      </c>
      <c r="AC381" s="83">
        <f t="shared" si="170"/>
        <v>0</v>
      </c>
      <c r="AD381" s="83">
        <f t="shared" si="170"/>
        <v>0</v>
      </c>
      <c r="AE381" s="83">
        <f t="shared" si="163"/>
        <v>0</v>
      </c>
      <c r="AF381" s="83"/>
      <c r="AH381" s="83"/>
      <c r="AI381" s="83"/>
      <c r="BB381" s="101">
        <f t="shared" si="169"/>
        <v>0</v>
      </c>
      <c r="BD381" s="112">
        <f t="shared" si="164"/>
        <v>0</v>
      </c>
      <c r="BE381" s="136">
        <f t="shared" si="165"/>
        <v>0</v>
      </c>
      <c r="BF381" s="137">
        <f t="shared" si="166"/>
        <v>0</v>
      </c>
      <c r="BG381" s="113">
        <f t="shared" si="167"/>
        <v>0</v>
      </c>
    </row>
    <row r="382" spans="1:59" s="62" customFormat="1" outlineLevel="1" x14ac:dyDescent="0.25">
      <c r="A382" s="62" t="str">
        <f t="shared" si="159"/>
        <v>MURREYSROLLOFFRORHAULHR25</v>
      </c>
      <c r="B382" s="81" t="s">
        <v>1239</v>
      </c>
      <c r="C382" s="81" t="s">
        <v>1240</v>
      </c>
      <c r="D382" s="82">
        <v>0</v>
      </c>
      <c r="E382" s="82">
        <v>0</v>
      </c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116"/>
      <c r="S382" s="83">
        <f t="shared" si="161"/>
        <v>0</v>
      </c>
      <c r="T382" s="83">
        <f t="shared" si="161"/>
        <v>0</v>
      </c>
      <c r="U382" s="83">
        <f t="shared" si="171"/>
        <v>0</v>
      </c>
      <c r="V382" s="83">
        <f t="shared" si="171"/>
        <v>0</v>
      </c>
      <c r="W382" s="83">
        <f t="shared" si="171"/>
        <v>0</v>
      </c>
      <c r="X382" s="83">
        <f t="shared" si="171"/>
        <v>0</v>
      </c>
      <c r="Y382" s="83">
        <f t="shared" si="171"/>
        <v>0</v>
      </c>
      <c r="Z382" s="83">
        <f t="shared" si="170"/>
        <v>0</v>
      </c>
      <c r="AA382" s="83">
        <f t="shared" si="170"/>
        <v>0</v>
      </c>
      <c r="AB382" s="83">
        <f t="shared" si="170"/>
        <v>0</v>
      </c>
      <c r="AC382" s="83">
        <f t="shared" si="170"/>
        <v>0</v>
      </c>
      <c r="AD382" s="83">
        <f t="shared" si="170"/>
        <v>0</v>
      </c>
      <c r="AE382" s="83">
        <f t="shared" si="163"/>
        <v>0</v>
      </c>
      <c r="AF382" s="83"/>
      <c r="AH382" s="83"/>
      <c r="AI382" s="83"/>
      <c r="BB382" s="101">
        <f t="shared" si="169"/>
        <v>0</v>
      </c>
      <c r="BD382" s="112">
        <f t="shared" si="164"/>
        <v>0</v>
      </c>
      <c r="BE382" s="136">
        <f t="shared" si="165"/>
        <v>0</v>
      </c>
      <c r="BF382" s="137">
        <f t="shared" si="166"/>
        <v>0</v>
      </c>
      <c r="BG382" s="113">
        <f t="shared" si="167"/>
        <v>0</v>
      </c>
    </row>
    <row r="383" spans="1:59" s="62" customFormat="1" outlineLevel="1" x14ac:dyDescent="0.25">
      <c r="A383" s="62" t="str">
        <f t="shared" si="159"/>
        <v>MURREYSROLLOFFRORHAULHR30</v>
      </c>
      <c r="B383" s="81" t="s">
        <v>1241</v>
      </c>
      <c r="C383" s="81" t="s">
        <v>1242</v>
      </c>
      <c r="D383" s="82">
        <v>0</v>
      </c>
      <c r="E383" s="82">
        <v>0</v>
      </c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116"/>
      <c r="S383" s="83">
        <f t="shared" si="161"/>
        <v>0</v>
      </c>
      <c r="T383" s="83">
        <f t="shared" si="161"/>
        <v>0</v>
      </c>
      <c r="U383" s="83">
        <f t="shared" si="171"/>
        <v>0</v>
      </c>
      <c r="V383" s="83">
        <f t="shared" si="171"/>
        <v>0</v>
      </c>
      <c r="W383" s="83">
        <f t="shared" si="171"/>
        <v>0</v>
      </c>
      <c r="X383" s="83">
        <f t="shared" si="171"/>
        <v>0</v>
      </c>
      <c r="Y383" s="83">
        <f t="shared" si="171"/>
        <v>0</v>
      </c>
      <c r="Z383" s="83">
        <f t="shared" si="170"/>
        <v>0</v>
      </c>
      <c r="AA383" s="83">
        <f t="shared" si="170"/>
        <v>0</v>
      </c>
      <c r="AB383" s="83">
        <f t="shared" si="170"/>
        <v>0</v>
      </c>
      <c r="AC383" s="83">
        <f t="shared" si="170"/>
        <v>0</v>
      </c>
      <c r="AD383" s="83">
        <f t="shared" si="170"/>
        <v>0</v>
      </c>
      <c r="AE383" s="83">
        <f t="shared" si="163"/>
        <v>0</v>
      </c>
      <c r="AF383" s="83"/>
      <c r="AH383" s="83"/>
      <c r="AI383" s="83"/>
      <c r="BB383" s="101">
        <f t="shared" si="169"/>
        <v>0</v>
      </c>
      <c r="BD383" s="112">
        <f t="shared" si="164"/>
        <v>0</v>
      </c>
      <c r="BE383" s="136">
        <f t="shared" si="165"/>
        <v>0</v>
      </c>
      <c r="BF383" s="137">
        <f t="shared" si="166"/>
        <v>0</v>
      </c>
      <c r="BG383" s="113">
        <f t="shared" si="167"/>
        <v>0</v>
      </c>
    </row>
    <row r="384" spans="1:59" s="62" customFormat="1" outlineLevel="1" x14ac:dyDescent="0.25">
      <c r="A384" s="62" t="str">
        <f t="shared" si="159"/>
        <v>MURREYSROLLOFFRORHAULHR40</v>
      </c>
      <c r="B384" s="81" t="s">
        <v>1243</v>
      </c>
      <c r="C384" s="81" t="s">
        <v>1244</v>
      </c>
      <c r="D384" s="82">
        <v>0</v>
      </c>
      <c r="E384" s="82">
        <v>0</v>
      </c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116"/>
      <c r="S384" s="83">
        <f t="shared" si="161"/>
        <v>0</v>
      </c>
      <c r="T384" s="83">
        <f t="shared" si="161"/>
        <v>0</v>
      </c>
      <c r="U384" s="83">
        <f t="shared" si="171"/>
        <v>0</v>
      </c>
      <c r="V384" s="83">
        <f t="shared" si="171"/>
        <v>0</v>
      </c>
      <c r="W384" s="83">
        <f t="shared" si="171"/>
        <v>0</v>
      </c>
      <c r="X384" s="83">
        <f t="shared" si="171"/>
        <v>0</v>
      </c>
      <c r="Y384" s="83">
        <f t="shared" si="171"/>
        <v>0</v>
      </c>
      <c r="Z384" s="83">
        <f t="shared" si="170"/>
        <v>0</v>
      </c>
      <c r="AA384" s="83">
        <f t="shared" si="170"/>
        <v>0</v>
      </c>
      <c r="AB384" s="83">
        <f t="shared" si="170"/>
        <v>0</v>
      </c>
      <c r="AC384" s="83">
        <f t="shared" si="170"/>
        <v>0</v>
      </c>
      <c r="AD384" s="83">
        <f t="shared" si="170"/>
        <v>0</v>
      </c>
      <c r="AE384" s="83">
        <f t="shared" si="163"/>
        <v>0</v>
      </c>
      <c r="AF384" s="83"/>
      <c r="AH384" s="83"/>
      <c r="AI384" s="83"/>
      <c r="BB384" s="101">
        <f t="shared" si="169"/>
        <v>0</v>
      </c>
      <c r="BD384" s="112">
        <f t="shared" si="164"/>
        <v>0</v>
      </c>
      <c r="BE384" s="136">
        <f t="shared" si="165"/>
        <v>0</v>
      </c>
      <c r="BF384" s="137">
        <f t="shared" si="166"/>
        <v>0</v>
      </c>
      <c r="BG384" s="113">
        <f t="shared" si="167"/>
        <v>0</v>
      </c>
    </row>
    <row r="385" spans="1:59" s="62" customFormat="1" outlineLevel="1" x14ac:dyDescent="0.25">
      <c r="A385" s="62" t="str">
        <f t="shared" si="159"/>
        <v>MURREYSROLLOFFRORHAULHR50</v>
      </c>
      <c r="B385" s="81" t="s">
        <v>1245</v>
      </c>
      <c r="C385" s="81" t="s">
        <v>1246</v>
      </c>
      <c r="D385" s="82">
        <v>0</v>
      </c>
      <c r="E385" s="82">
        <v>0</v>
      </c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116"/>
      <c r="S385" s="83">
        <f t="shared" si="161"/>
        <v>0</v>
      </c>
      <c r="T385" s="83">
        <f t="shared" si="161"/>
        <v>0</v>
      </c>
      <c r="U385" s="83">
        <f t="shared" si="171"/>
        <v>0</v>
      </c>
      <c r="V385" s="83">
        <f t="shared" si="171"/>
        <v>0</v>
      </c>
      <c r="W385" s="83">
        <f t="shared" si="171"/>
        <v>0</v>
      </c>
      <c r="X385" s="83">
        <f t="shared" si="171"/>
        <v>0</v>
      </c>
      <c r="Y385" s="83">
        <f t="shared" si="171"/>
        <v>0</v>
      </c>
      <c r="Z385" s="83">
        <f t="shared" si="170"/>
        <v>0</v>
      </c>
      <c r="AA385" s="83">
        <f t="shared" si="170"/>
        <v>0</v>
      </c>
      <c r="AB385" s="83">
        <f t="shared" si="170"/>
        <v>0</v>
      </c>
      <c r="AC385" s="83">
        <f t="shared" si="170"/>
        <v>0</v>
      </c>
      <c r="AD385" s="83">
        <f t="shared" si="170"/>
        <v>0</v>
      </c>
      <c r="AE385" s="83">
        <f t="shared" si="163"/>
        <v>0</v>
      </c>
      <c r="AF385" s="83"/>
      <c r="AH385" s="83"/>
      <c r="AI385" s="83"/>
      <c r="BB385" s="101">
        <f t="shared" si="169"/>
        <v>0</v>
      </c>
      <c r="BD385" s="112">
        <f t="shared" si="164"/>
        <v>0</v>
      </c>
      <c r="BE385" s="136">
        <f t="shared" si="165"/>
        <v>0</v>
      </c>
      <c r="BF385" s="137">
        <f t="shared" si="166"/>
        <v>0</v>
      </c>
      <c r="BG385" s="113">
        <f t="shared" si="167"/>
        <v>0</v>
      </c>
    </row>
    <row r="386" spans="1:59" s="62" customFormat="1" outlineLevel="1" x14ac:dyDescent="0.25">
      <c r="A386" s="62" t="str">
        <f t="shared" si="159"/>
        <v>MURREYSROLLOFFRORHAULHRTL</v>
      </c>
      <c r="B386" s="81" t="s">
        <v>1247</v>
      </c>
      <c r="C386" s="81" t="s">
        <v>1248</v>
      </c>
      <c r="D386" s="82">
        <v>0</v>
      </c>
      <c r="E386" s="82">
        <v>0</v>
      </c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116"/>
      <c r="S386" s="83">
        <f t="shared" si="161"/>
        <v>0</v>
      </c>
      <c r="T386" s="83">
        <f t="shared" si="161"/>
        <v>0</v>
      </c>
      <c r="U386" s="83">
        <f t="shared" si="171"/>
        <v>0</v>
      </c>
      <c r="V386" s="83">
        <f t="shared" si="171"/>
        <v>0</v>
      </c>
      <c r="W386" s="83">
        <f t="shared" si="171"/>
        <v>0</v>
      </c>
      <c r="X386" s="83">
        <f t="shared" si="171"/>
        <v>0</v>
      </c>
      <c r="Y386" s="83">
        <f t="shared" si="171"/>
        <v>0</v>
      </c>
      <c r="Z386" s="83">
        <f t="shared" si="170"/>
        <v>0</v>
      </c>
      <c r="AA386" s="83">
        <f t="shared" si="170"/>
        <v>0</v>
      </c>
      <c r="AB386" s="83">
        <f t="shared" si="170"/>
        <v>0</v>
      </c>
      <c r="AC386" s="83">
        <f t="shared" si="170"/>
        <v>0</v>
      </c>
      <c r="AD386" s="83">
        <f t="shared" si="170"/>
        <v>0</v>
      </c>
      <c r="AE386" s="83">
        <f t="shared" si="163"/>
        <v>0</v>
      </c>
      <c r="AF386" s="83"/>
      <c r="AH386" s="83"/>
      <c r="AI386" s="83"/>
      <c r="BB386" s="101">
        <f t="shared" si="169"/>
        <v>0</v>
      </c>
      <c r="BD386" s="112">
        <f t="shared" si="164"/>
        <v>0</v>
      </c>
      <c r="BE386" s="136">
        <f t="shared" si="165"/>
        <v>0</v>
      </c>
      <c r="BF386" s="137">
        <f t="shared" si="166"/>
        <v>0</v>
      </c>
      <c r="BG386" s="113">
        <f t="shared" si="167"/>
        <v>0</v>
      </c>
    </row>
    <row r="387" spans="1:59" s="62" customFormat="1" outlineLevel="1" x14ac:dyDescent="0.25">
      <c r="A387" s="62" t="str">
        <f t="shared" si="159"/>
        <v>MURREYSROLLOFFROSPC</v>
      </c>
      <c r="B387" s="81" t="s">
        <v>1249</v>
      </c>
      <c r="C387" s="81" t="s">
        <v>1250</v>
      </c>
      <c r="D387" s="82">
        <v>0</v>
      </c>
      <c r="E387" s="82">
        <v>0</v>
      </c>
      <c r="F387" s="83">
        <v>1388.8100000000002</v>
      </c>
      <c r="G387" s="83">
        <v>1149.3600000000001</v>
      </c>
      <c r="H387" s="83">
        <v>1197.25</v>
      </c>
      <c r="I387" s="83">
        <v>1053.5800000000002</v>
      </c>
      <c r="J387" s="83">
        <v>1053.5800000000002</v>
      </c>
      <c r="K387" s="83">
        <v>1101.47</v>
      </c>
      <c r="L387" s="83">
        <v>1149.3600000000001</v>
      </c>
      <c r="M387" s="83">
        <v>1388.81</v>
      </c>
      <c r="N387" s="83">
        <v>1340.9199999999998</v>
      </c>
      <c r="O387" s="83">
        <v>-2059.27</v>
      </c>
      <c r="P387" s="83">
        <v>814.12999999999988</v>
      </c>
      <c r="Q387" s="83">
        <v>1197.25</v>
      </c>
      <c r="R387" s="116">
        <f t="shared" si="160"/>
        <v>10775.249999999998</v>
      </c>
      <c r="S387" s="83">
        <f t="shared" si="161"/>
        <v>0</v>
      </c>
      <c r="T387" s="83">
        <f t="shared" si="161"/>
        <v>0</v>
      </c>
      <c r="U387" s="83">
        <f t="shared" si="171"/>
        <v>0</v>
      </c>
      <c r="V387" s="83">
        <f t="shared" si="171"/>
        <v>0</v>
      </c>
      <c r="W387" s="83">
        <f t="shared" si="171"/>
        <v>0</v>
      </c>
      <c r="X387" s="83">
        <f t="shared" si="171"/>
        <v>0</v>
      </c>
      <c r="Y387" s="83">
        <f t="shared" si="171"/>
        <v>0</v>
      </c>
      <c r="Z387" s="83">
        <f t="shared" si="170"/>
        <v>0</v>
      </c>
      <c r="AA387" s="83">
        <f t="shared" si="170"/>
        <v>0</v>
      </c>
      <c r="AB387" s="83">
        <f t="shared" si="170"/>
        <v>0</v>
      </c>
      <c r="AC387" s="83">
        <f t="shared" si="170"/>
        <v>0</v>
      </c>
      <c r="AD387" s="83">
        <f t="shared" si="170"/>
        <v>0</v>
      </c>
      <c r="AE387" s="83">
        <f t="shared" si="163"/>
        <v>0</v>
      </c>
      <c r="AF387" s="83"/>
      <c r="AH387" s="83"/>
      <c r="AI387" s="83"/>
      <c r="BB387" s="101">
        <f t="shared" si="169"/>
        <v>0</v>
      </c>
      <c r="BD387" s="112">
        <f t="shared" si="164"/>
        <v>0</v>
      </c>
      <c r="BE387" s="136">
        <f t="shared" si="165"/>
        <v>0</v>
      </c>
      <c r="BF387" s="137">
        <f t="shared" si="166"/>
        <v>0</v>
      </c>
      <c r="BG387" s="113">
        <f t="shared" si="167"/>
        <v>0</v>
      </c>
    </row>
    <row r="388" spans="1:59" s="62" customFormat="1" outlineLevel="1" x14ac:dyDescent="0.25">
      <c r="A388" s="62" t="str">
        <f t="shared" ref="A388:A407" si="172">+$A$4&amp;$A$323&amp;B388</f>
        <v>MURREYSROLLOFFROTA</v>
      </c>
      <c r="B388" s="81" t="s">
        <v>1251</v>
      </c>
      <c r="C388" s="81" t="s">
        <v>1252</v>
      </c>
      <c r="D388" s="82">
        <v>21.74</v>
      </c>
      <c r="E388" s="82">
        <v>21.74</v>
      </c>
      <c r="F388" s="83">
        <v>6391.5599999999995</v>
      </c>
      <c r="G388" s="83">
        <v>5913.28</v>
      </c>
      <c r="H388" s="83">
        <v>5869.8</v>
      </c>
      <c r="I388" s="83">
        <v>5782.84</v>
      </c>
      <c r="J388" s="83">
        <v>5652.4</v>
      </c>
      <c r="K388" s="83">
        <v>6761.1399999999994</v>
      </c>
      <c r="L388" s="83">
        <v>7108.9800000000005</v>
      </c>
      <c r="M388" s="83">
        <v>6363.74</v>
      </c>
      <c r="N388" s="83">
        <v>7215.8</v>
      </c>
      <c r="O388" s="83">
        <v>6518.2</v>
      </c>
      <c r="P388" s="83">
        <v>6779.7999999999993</v>
      </c>
      <c r="Q388" s="83">
        <v>7019.6</v>
      </c>
      <c r="R388" s="116">
        <f t="shared" si="160"/>
        <v>77377.14</v>
      </c>
      <c r="S388" s="83">
        <f t="shared" si="161"/>
        <v>294</v>
      </c>
      <c r="T388" s="83">
        <f t="shared" si="161"/>
        <v>272</v>
      </c>
      <c r="U388" s="83">
        <f t="shared" si="171"/>
        <v>270</v>
      </c>
      <c r="V388" s="83">
        <f t="shared" si="171"/>
        <v>266</v>
      </c>
      <c r="W388" s="83">
        <f t="shared" si="171"/>
        <v>260</v>
      </c>
      <c r="X388" s="83">
        <f t="shared" si="171"/>
        <v>311</v>
      </c>
      <c r="Y388" s="83">
        <f t="shared" si="171"/>
        <v>327.00000000000006</v>
      </c>
      <c r="Z388" s="83">
        <f t="shared" si="170"/>
        <v>292.72033118675256</v>
      </c>
      <c r="AA388" s="83">
        <f t="shared" si="170"/>
        <v>331.91352345906165</v>
      </c>
      <c r="AB388" s="83">
        <f t="shared" si="170"/>
        <v>299.82520699172034</v>
      </c>
      <c r="AC388" s="83">
        <f t="shared" si="170"/>
        <v>311.85832566697331</v>
      </c>
      <c r="AD388" s="83">
        <f t="shared" si="170"/>
        <v>322.88868445262193</v>
      </c>
      <c r="AE388" s="83">
        <f t="shared" si="163"/>
        <v>296.60050597976084</v>
      </c>
      <c r="AF388" s="83"/>
      <c r="AH388" s="83"/>
      <c r="AI388" s="83"/>
      <c r="BB388" s="101">
        <f t="shared" si="169"/>
        <v>77377.14</v>
      </c>
      <c r="BD388" s="112">
        <f t="shared" ref="BD388:BD407" si="173">ROUND(E388*(1+$BF$4),2)</f>
        <v>21.84</v>
      </c>
      <c r="BE388" s="136">
        <f t="shared" ref="BE388:BE407" si="174">BD388*AE388*12</f>
        <v>77733.060607175721</v>
      </c>
      <c r="BF388" s="137">
        <f t="shared" ref="BF388:BF407" si="175">+BE388-BB388</f>
        <v>355.92060717572167</v>
      </c>
      <c r="BG388" s="113">
        <f t="shared" ref="BG388:BG407" si="176">IFERROR(+BF388/BB388,0)</f>
        <v>4.5998160073598181E-3</v>
      </c>
    </row>
    <row r="389" spans="1:59" s="62" customFormat="1" outlineLevel="1" x14ac:dyDescent="0.25">
      <c r="A389" s="62" t="str">
        <f t="shared" si="172"/>
        <v>MURREYSROLLOFFROWAIT</v>
      </c>
      <c r="B389" s="81" t="s">
        <v>1253</v>
      </c>
      <c r="C389" s="81" t="s">
        <v>1254</v>
      </c>
      <c r="D389" s="82">
        <v>93.51</v>
      </c>
      <c r="E389" s="82">
        <v>93.51</v>
      </c>
      <c r="F389" s="83">
        <v>0</v>
      </c>
      <c r="G389" s="83">
        <v>0</v>
      </c>
      <c r="H389" s="83">
        <v>0</v>
      </c>
      <c r="I389" s="83">
        <v>0</v>
      </c>
      <c r="J389" s="83">
        <v>0</v>
      </c>
      <c r="K389" s="83">
        <v>0</v>
      </c>
      <c r="L389" s="83">
        <v>0</v>
      </c>
      <c r="M389" s="83">
        <v>0</v>
      </c>
      <c r="N389" s="83">
        <v>0</v>
      </c>
      <c r="O389" s="83">
        <v>0</v>
      </c>
      <c r="P389" s="83">
        <v>0</v>
      </c>
      <c r="Q389" s="83">
        <v>0</v>
      </c>
      <c r="R389" s="116">
        <f t="shared" ref="R389:R407" si="177">+SUM(F389:Q389)</f>
        <v>0</v>
      </c>
      <c r="S389" s="83">
        <f t="shared" ref="S389:T407" si="178">+IFERROR(F389/$D389,0)</f>
        <v>0</v>
      </c>
      <c r="T389" s="83">
        <f t="shared" si="178"/>
        <v>0</v>
      </c>
      <c r="U389" s="83">
        <f t="shared" si="171"/>
        <v>0</v>
      </c>
      <c r="V389" s="83">
        <f t="shared" si="171"/>
        <v>0</v>
      </c>
      <c r="W389" s="83">
        <f t="shared" si="171"/>
        <v>0</v>
      </c>
      <c r="X389" s="83">
        <f t="shared" si="171"/>
        <v>0</v>
      </c>
      <c r="Y389" s="83">
        <f t="shared" si="171"/>
        <v>0</v>
      </c>
      <c r="Z389" s="83">
        <f t="shared" si="170"/>
        <v>0</v>
      </c>
      <c r="AA389" s="83">
        <f t="shared" si="170"/>
        <v>0</v>
      </c>
      <c r="AB389" s="83">
        <f t="shared" si="170"/>
        <v>0</v>
      </c>
      <c r="AC389" s="83">
        <f t="shared" si="170"/>
        <v>0</v>
      </c>
      <c r="AD389" s="83">
        <f t="shared" si="170"/>
        <v>0</v>
      </c>
      <c r="AE389" s="83">
        <f t="shared" ref="AE389:AE407" si="179">+SUM(S389:AD389)/$AB$2</f>
        <v>0</v>
      </c>
      <c r="AF389" s="83"/>
      <c r="AH389" s="83"/>
      <c r="AI389" s="83"/>
      <c r="BB389" s="101">
        <f t="shared" si="169"/>
        <v>0</v>
      </c>
      <c r="BD389" s="112">
        <f t="shared" si="173"/>
        <v>93.95</v>
      </c>
      <c r="BE389" s="136">
        <f t="shared" si="174"/>
        <v>0</v>
      </c>
      <c r="BF389" s="137">
        <f t="shared" si="175"/>
        <v>0</v>
      </c>
      <c r="BG389" s="113">
        <f t="shared" si="176"/>
        <v>0</v>
      </c>
    </row>
    <row r="390" spans="1:59" s="62" customFormat="1" outlineLevel="1" x14ac:dyDescent="0.25">
      <c r="A390" s="62" t="str">
        <f t="shared" si="172"/>
        <v>MURREYSROLLOFFRTRIP-RO</v>
      </c>
      <c r="B390" s="81" t="s">
        <v>1255</v>
      </c>
      <c r="C390" s="81" t="s">
        <v>1256</v>
      </c>
      <c r="D390" s="82">
        <v>96.77</v>
      </c>
      <c r="E390" s="82">
        <v>96.77</v>
      </c>
      <c r="F390" s="83">
        <v>0</v>
      </c>
      <c r="G390" s="83">
        <v>0</v>
      </c>
      <c r="H390" s="83">
        <v>0</v>
      </c>
      <c r="I390" s="83">
        <v>0</v>
      </c>
      <c r="J390" s="83">
        <v>0</v>
      </c>
      <c r="K390" s="83">
        <v>0</v>
      </c>
      <c r="L390" s="83">
        <v>0</v>
      </c>
      <c r="M390" s="83">
        <v>0</v>
      </c>
      <c r="N390" s="83">
        <v>0</v>
      </c>
      <c r="O390" s="83">
        <v>0</v>
      </c>
      <c r="P390" s="83">
        <v>0</v>
      </c>
      <c r="Q390" s="83">
        <v>0</v>
      </c>
      <c r="R390" s="116">
        <f t="shared" si="177"/>
        <v>0</v>
      </c>
      <c r="S390" s="83">
        <f t="shared" si="178"/>
        <v>0</v>
      </c>
      <c r="T390" s="83">
        <f t="shared" si="178"/>
        <v>0</v>
      </c>
      <c r="U390" s="83">
        <f t="shared" si="171"/>
        <v>0</v>
      </c>
      <c r="V390" s="83">
        <f t="shared" si="171"/>
        <v>0</v>
      </c>
      <c r="W390" s="83">
        <f t="shared" si="171"/>
        <v>0</v>
      </c>
      <c r="X390" s="83">
        <f t="shared" si="171"/>
        <v>0</v>
      </c>
      <c r="Y390" s="83">
        <f t="shared" si="171"/>
        <v>0</v>
      </c>
      <c r="Z390" s="83">
        <f t="shared" si="170"/>
        <v>0</v>
      </c>
      <c r="AA390" s="83">
        <f t="shared" si="170"/>
        <v>0</v>
      </c>
      <c r="AB390" s="83">
        <f t="shared" si="170"/>
        <v>0</v>
      </c>
      <c r="AC390" s="83">
        <f t="shared" si="170"/>
        <v>0</v>
      </c>
      <c r="AD390" s="83">
        <f t="shared" si="170"/>
        <v>0</v>
      </c>
      <c r="AE390" s="83">
        <f t="shared" si="179"/>
        <v>0</v>
      </c>
      <c r="AF390" s="83"/>
      <c r="AH390" s="83"/>
      <c r="AI390" s="83"/>
      <c r="BB390" s="101">
        <f t="shared" si="169"/>
        <v>0</v>
      </c>
      <c r="BD390" s="112">
        <f t="shared" si="173"/>
        <v>97.22</v>
      </c>
      <c r="BE390" s="136">
        <f t="shared" si="174"/>
        <v>0</v>
      </c>
      <c r="BF390" s="137">
        <f t="shared" si="175"/>
        <v>0</v>
      </c>
      <c r="BG390" s="113">
        <f t="shared" si="176"/>
        <v>0</v>
      </c>
    </row>
    <row r="391" spans="1:59" s="62" customFormat="1" outlineLevel="1" x14ac:dyDescent="0.25">
      <c r="A391" s="62" t="str">
        <f t="shared" si="172"/>
        <v>MURREYSROLLOFFTHOUR</v>
      </c>
      <c r="B391" s="81" t="s">
        <v>1257</v>
      </c>
      <c r="C391" s="81" t="s">
        <v>1258</v>
      </c>
      <c r="D391" s="82">
        <v>0</v>
      </c>
      <c r="E391" s="82">
        <v>0</v>
      </c>
      <c r="F391" s="83">
        <v>0</v>
      </c>
      <c r="G391" s="83">
        <v>0</v>
      </c>
      <c r="H391" s="83">
        <v>0</v>
      </c>
      <c r="I391" s="83">
        <v>0</v>
      </c>
      <c r="J391" s="83">
        <v>0</v>
      </c>
      <c r="K391" s="83">
        <v>0</v>
      </c>
      <c r="L391" s="83">
        <v>0</v>
      </c>
      <c r="M391" s="83">
        <v>0</v>
      </c>
      <c r="N391" s="83">
        <v>0</v>
      </c>
      <c r="O391" s="83">
        <v>0</v>
      </c>
      <c r="P391" s="83">
        <v>0</v>
      </c>
      <c r="Q391" s="83">
        <v>0</v>
      </c>
      <c r="R391" s="116">
        <f t="shared" si="177"/>
        <v>0</v>
      </c>
      <c r="S391" s="83">
        <f t="shared" si="178"/>
        <v>0</v>
      </c>
      <c r="T391" s="83">
        <f t="shared" si="178"/>
        <v>0</v>
      </c>
      <c r="U391" s="83">
        <f t="shared" si="171"/>
        <v>0</v>
      </c>
      <c r="V391" s="83">
        <f t="shared" si="171"/>
        <v>0</v>
      </c>
      <c r="W391" s="83">
        <f t="shared" si="171"/>
        <v>0</v>
      </c>
      <c r="X391" s="83">
        <f t="shared" si="171"/>
        <v>0</v>
      </c>
      <c r="Y391" s="83">
        <f t="shared" si="171"/>
        <v>0</v>
      </c>
      <c r="Z391" s="83">
        <f t="shared" si="170"/>
        <v>0</v>
      </c>
      <c r="AA391" s="83">
        <f t="shared" si="170"/>
        <v>0</v>
      </c>
      <c r="AB391" s="83">
        <f t="shared" si="170"/>
        <v>0</v>
      </c>
      <c r="AC391" s="83">
        <f t="shared" si="170"/>
        <v>0</v>
      </c>
      <c r="AD391" s="83">
        <f t="shared" si="170"/>
        <v>0</v>
      </c>
      <c r="AE391" s="83">
        <f t="shared" si="179"/>
        <v>0</v>
      </c>
      <c r="AF391" s="83"/>
      <c r="AH391" s="83"/>
      <c r="AI391" s="83"/>
      <c r="BB391" s="101">
        <f t="shared" si="169"/>
        <v>0</v>
      </c>
      <c r="BD391" s="112">
        <f t="shared" si="173"/>
        <v>0</v>
      </c>
      <c r="BE391" s="136">
        <f t="shared" si="174"/>
        <v>0</v>
      </c>
      <c r="BF391" s="137">
        <f t="shared" si="175"/>
        <v>0</v>
      </c>
      <c r="BG391" s="113">
        <f t="shared" si="176"/>
        <v>0</v>
      </c>
    </row>
    <row r="392" spans="1:59" s="62" customFormat="1" outlineLevel="1" x14ac:dyDescent="0.25">
      <c r="A392" s="62" t="str">
        <f t="shared" si="172"/>
        <v>MURREYSROLLOFFADJRO</v>
      </c>
      <c r="B392" s="81" t="s">
        <v>1259</v>
      </c>
      <c r="C392" s="81" t="s">
        <v>1260</v>
      </c>
      <c r="D392" s="82">
        <v>0</v>
      </c>
      <c r="E392" s="82">
        <v>0</v>
      </c>
      <c r="F392" s="83">
        <v>-1.39</v>
      </c>
      <c r="G392" s="83">
        <v>0</v>
      </c>
      <c r="H392" s="83">
        <v>0</v>
      </c>
      <c r="I392" s="83">
        <v>-29.71</v>
      </c>
      <c r="J392" s="83">
        <v>0</v>
      </c>
      <c r="K392" s="83">
        <v>0</v>
      </c>
      <c r="L392" s="83">
        <v>0</v>
      </c>
      <c r="M392" s="83">
        <v>0</v>
      </c>
      <c r="N392" s="83">
        <v>0</v>
      </c>
      <c r="O392" s="83">
        <v>0</v>
      </c>
      <c r="P392" s="83">
        <v>0</v>
      </c>
      <c r="Q392" s="83">
        <v>0</v>
      </c>
      <c r="R392" s="116">
        <f t="shared" si="177"/>
        <v>-31.1</v>
      </c>
      <c r="S392" s="83">
        <f t="shared" si="178"/>
        <v>0</v>
      </c>
      <c r="T392" s="83">
        <f t="shared" si="178"/>
        <v>0</v>
      </c>
      <c r="U392" s="83">
        <f t="shared" si="171"/>
        <v>0</v>
      </c>
      <c r="V392" s="83">
        <f t="shared" si="171"/>
        <v>0</v>
      </c>
      <c r="W392" s="83">
        <f t="shared" si="171"/>
        <v>0</v>
      </c>
      <c r="X392" s="83">
        <f t="shared" si="171"/>
        <v>0</v>
      </c>
      <c r="Y392" s="83">
        <f t="shared" si="171"/>
        <v>0</v>
      </c>
      <c r="Z392" s="83">
        <f t="shared" si="170"/>
        <v>0</v>
      </c>
      <c r="AA392" s="83">
        <f t="shared" si="170"/>
        <v>0</v>
      </c>
      <c r="AB392" s="83">
        <f t="shared" si="170"/>
        <v>0</v>
      </c>
      <c r="AC392" s="83">
        <f t="shared" si="170"/>
        <v>0</v>
      </c>
      <c r="AD392" s="83">
        <f t="shared" si="170"/>
        <v>0</v>
      </c>
      <c r="AE392" s="83">
        <f t="shared" si="179"/>
        <v>0</v>
      </c>
      <c r="AF392" s="83"/>
      <c r="AH392" s="83"/>
      <c r="AI392" s="83"/>
      <c r="BB392" s="101">
        <f t="shared" si="169"/>
        <v>0</v>
      </c>
      <c r="BD392" s="112">
        <f t="shared" si="173"/>
        <v>0</v>
      </c>
      <c r="BE392" s="136">
        <f t="shared" si="174"/>
        <v>0</v>
      </c>
      <c r="BF392" s="137">
        <f t="shared" si="175"/>
        <v>0</v>
      </c>
      <c r="BG392" s="113">
        <f t="shared" si="176"/>
        <v>0</v>
      </c>
    </row>
    <row r="393" spans="1:59" s="62" customFormat="1" outlineLevel="1" x14ac:dyDescent="0.25">
      <c r="A393" s="62" t="str">
        <f t="shared" si="172"/>
        <v>MURREYSROLLOFFCPCONNECT</v>
      </c>
      <c r="B393" s="81" t="s">
        <v>1261</v>
      </c>
      <c r="C393" s="81" t="s">
        <v>1262</v>
      </c>
      <c r="D393" s="82">
        <v>7.12</v>
      </c>
      <c r="E393" s="82">
        <v>7.12</v>
      </c>
      <c r="F393" s="83">
        <v>2071.92</v>
      </c>
      <c r="G393" s="83">
        <v>1929.52</v>
      </c>
      <c r="H393" s="83">
        <v>2093.2799999999997</v>
      </c>
      <c r="I393" s="83">
        <v>1844.08</v>
      </c>
      <c r="J393" s="83">
        <v>1708.8000000000002</v>
      </c>
      <c r="K393" s="83">
        <v>1908.16</v>
      </c>
      <c r="L393" s="83">
        <v>1922.4</v>
      </c>
      <c r="M393" s="83">
        <v>1805.1</v>
      </c>
      <c r="N393" s="83">
        <v>2006.3</v>
      </c>
      <c r="O393" s="83">
        <v>1892.1</v>
      </c>
      <c r="P393" s="83">
        <v>1913.52</v>
      </c>
      <c r="Q393" s="83">
        <v>2163.42</v>
      </c>
      <c r="R393" s="116">
        <f t="shared" si="177"/>
        <v>23258.6</v>
      </c>
      <c r="S393" s="83">
        <f t="shared" si="178"/>
        <v>291</v>
      </c>
      <c r="T393" s="83">
        <f t="shared" si="178"/>
        <v>271</v>
      </c>
      <c r="U393" s="83">
        <f t="shared" si="171"/>
        <v>293.99999999999994</v>
      </c>
      <c r="V393" s="83">
        <f t="shared" si="171"/>
        <v>259</v>
      </c>
      <c r="W393" s="83">
        <f t="shared" si="171"/>
        <v>240.00000000000003</v>
      </c>
      <c r="X393" s="83">
        <f t="shared" si="171"/>
        <v>268</v>
      </c>
      <c r="Y393" s="83">
        <f t="shared" si="171"/>
        <v>270</v>
      </c>
      <c r="Z393" s="83">
        <f t="shared" si="170"/>
        <v>253.52528089887639</v>
      </c>
      <c r="AA393" s="83">
        <f t="shared" si="170"/>
        <v>281.78370786516854</v>
      </c>
      <c r="AB393" s="83">
        <f t="shared" si="170"/>
        <v>265.74438202247188</v>
      </c>
      <c r="AC393" s="83">
        <f t="shared" si="170"/>
        <v>268.75280898876406</v>
      </c>
      <c r="AD393" s="83">
        <f t="shared" si="170"/>
        <v>303.85112359550561</v>
      </c>
      <c r="AE393" s="83">
        <f t="shared" si="179"/>
        <v>272.22144194756555</v>
      </c>
      <c r="AF393" s="83"/>
      <c r="AH393" s="83"/>
      <c r="AI393" s="83"/>
      <c r="BB393" s="101">
        <f t="shared" si="169"/>
        <v>23258.6</v>
      </c>
      <c r="BD393" s="112">
        <f t="shared" si="173"/>
        <v>7.15</v>
      </c>
      <c r="BE393" s="136">
        <f t="shared" si="174"/>
        <v>23356.599719101127</v>
      </c>
      <c r="BF393" s="137">
        <f t="shared" si="175"/>
        <v>97.999719101127994</v>
      </c>
      <c r="BG393" s="113">
        <f t="shared" si="176"/>
        <v>4.2134831460676047E-3</v>
      </c>
    </row>
    <row r="394" spans="1:59" s="62" customFormat="1" outlineLevel="1" x14ac:dyDescent="0.25">
      <c r="A394" s="62" t="str">
        <f t="shared" si="172"/>
        <v>MURREYSROLLOFFDELREC-RO</v>
      </c>
      <c r="B394" s="81" t="s">
        <v>1263</v>
      </c>
      <c r="C394" s="81" t="s">
        <v>1264</v>
      </c>
      <c r="D394" s="82">
        <v>0</v>
      </c>
      <c r="E394" s="82">
        <v>0</v>
      </c>
      <c r="F394" s="83">
        <v>95</v>
      </c>
      <c r="G394" s="83">
        <v>0</v>
      </c>
      <c r="H394" s="83">
        <v>0</v>
      </c>
      <c r="I394" s="83">
        <v>0</v>
      </c>
      <c r="J394" s="83">
        <v>0</v>
      </c>
      <c r="K394" s="83">
        <v>0</v>
      </c>
      <c r="L394" s="83">
        <v>0</v>
      </c>
      <c r="M394" s="83">
        <v>0</v>
      </c>
      <c r="N394" s="83">
        <v>125</v>
      </c>
      <c r="O394" s="83">
        <v>-125</v>
      </c>
      <c r="P394" s="83">
        <v>0</v>
      </c>
      <c r="Q394" s="83">
        <v>0</v>
      </c>
      <c r="R394" s="116">
        <f t="shared" si="177"/>
        <v>95</v>
      </c>
      <c r="S394" s="83">
        <f t="shared" si="178"/>
        <v>0</v>
      </c>
      <c r="T394" s="83">
        <f t="shared" si="178"/>
        <v>0</v>
      </c>
      <c r="U394" s="83">
        <f t="shared" si="171"/>
        <v>0</v>
      </c>
      <c r="V394" s="83">
        <f t="shared" si="171"/>
        <v>0</v>
      </c>
      <c r="W394" s="83">
        <f t="shared" si="171"/>
        <v>0</v>
      </c>
      <c r="X394" s="83">
        <f t="shared" si="171"/>
        <v>0</v>
      </c>
      <c r="Y394" s="83">
        <f t="shared" si="171"/>
        <v>0</v>
      </c>
      <c r="Z394" s="83">
        <f t="shared" si="170"/>
        <v>0</v>
      </c>
      <c r="AA394" s="83">
        <f t="shared" si="170"/>
        <v>0</v>
      </c>
      <c r="AB394" s="83">
        <f t="shared" si="170"/>
        <v>0</v>
      </c>
      <c r="AC394" s="83">
        <f t="shared" si="170"/>
        <v>0</v>
      </c>
      <c r="AD394" s="83">
        <f t="shared" si="170"/>
        <v>0</v>
      </c>
      <c r="AE394" s="83">
        <f t="shared" si="179"/>
        <v>0</v>
      </c>
      <c r="AF394" s="83"/>
      <c r="AH394" s="83"/>
      <c r="AI394" s="83"/>
      <c r="BB394" s="101">
        <f t="shared" si="169"/>
        <v>0</v>
      </c>
      <c r="BD394" s="112">
        <f t="shared" si="173"/>
        <v>0</v>
      </c>
      <c r="BE394" s="136">
        <f t="shared" si="174"/>
        <v>0</v>
      </c>
      <c r="BF394" s="137">
        <f t="shared" si="175"/>
        <v>0</v>
      </c>
      <c r="BG394" s="113">
        <f t="shared" si="176"/>
        <v>0</v>
      </c>
    </row>
    <row r="395" spans="1:59" s="62" customFormat="1" outlineLevel="1" x14ac:dyDescent="0.25">
      <c r="A395" s="62" t="str">
        <f t="shared" si="172"/>
        <v>MURREYSROLLOFFFERRY</v>
      </c>
      <c r="B395" s="81" t="s">
        <v>1265</v>
      </c>
      <c r="C395" s="81" t="s">
        <v>1266</v>
      </c>
      <c r="D395" s="82">
        <v>0</v>
      </c>
      <c r="E395" s="82">
        <v>0</v>
      </c>
      <c r="F395" s="83">
        <v>0</v>
      </c>
      <c r="G395" s="83">
        <v>0</v>
      </c>
      <c r="H395" s="83">
        <v>0</v>
      </c>
      <c r="I395" s="83">
        <v>0</v>
      </c>
      <c r="J395" s="83">
        <v>0</v>
      </c>
      <c r="K395" s="83">
        <v>0</v>
      </c>
      <c r="L395" s="83">
        <v>0</v>
      </c>
      <c r="M395" s="83">
        <v>0</v>
      </c>
      <c r="N395" s="83">
        <v>0</v>
      </c>
      <c r="O395" s="83">
        <v>0</v>
      </c>
      <c r="P395" s="83">
        <v>0</v>
      </c>
      <c r="Q395" s="83">
        <v>0</v>
      </c>
      <c r="R395" s="116">
        <f t="shared" si="177"/>
        <v>0</v>
      </c>
      <c r="S395" s="83">
        <f t="shared" si="178"/>
        <v>0</v>
      </c>
      <c r="T395" s="83">
        <f t="shared" si="178"/>
        <v>0</v>
      </c>
      <c r="U395" s="83">
        <f t="shared" si="171"/>
        <v>0</v>
      </c>
      <c r="V395" s="83">
        <f t="shared" si="171"/>
        <v>0</v>
      </c>
      <c r="W395" s="83">
        <f t="shared" si="171"/>
        <v>0</v>
      </c>
      <c r="X395" s="83">
        <f t="shared" si="171"/>
        <v>0</v>
      </c>
      <c r="Y395" s="83">
        <f t="shared" si="171"/>
        <v>0</v>
      </c>
      <c r="Z395" s="83">
        <f t="shared" si="170"/>
        <v>0</v>
      </c>
      <c r="AA395" s="83">
        <f t="shared" si="170"/>
        <v>0</v>
      </c>
      <c r="AB395" s="83">
        <f t="shared" si="170"/>
        <v>0</v>
      </c>
      <c r="AC395" s="83">
        <f t="shared" si="170"/>
        <v>0</v>
      </c>
      <c r="AD395" s="83">
        <f t="shared" si="170"/>
        <v>0</v>
      </c>
      <c r="AE395" s="83">
        <f t="shared" si="179"/>
        <v>0</v>
      </c>
      <c r="AF395" s="83"/>
      <c r="AH395" s="83"/>
      <c r="AI395" s="83"/>
      <c r="BB395" s="101">
        <f t="shared" si="169"/>
        <v>0</v>
      </c>
      <c r="BD395" s="112">
        <f t="shared" si="173"/>
        <v>0</v>
      </c>
      <c r="BE395" s="136">
        <f t="shared" si="174"/>
        <v>0</v>
      </c>
      <c r="BF395" s="137">
        <f t="shared" si="175"/>
        <v>0</v>
      </c>
      <c r="BG395" s="113">
        <f t="shared" si="176"/>
        <v>0</v>
      </c>
    </row>
    <row r="396" spans="1:59" s="62" customFormat="1" outlineLevel="1" x14ac:dyDescent="0.25">
      <c r="A396" s="62" t="str">
        <f t="shared" si="172"/>
        <v>MURREYSROLLOFFRECYWPROCTRL</v>
      </c>
      <c r="B396" s="81" t="s">
        <v>1267</v>
      </c>
      <c r="C396" s="81" t="s">
        <v>1268</v>
      </c>
      <c r="D396" s="82">
        <v>0</v>
      </c>
      <c r="E396" s="82">
        <v>0</v>
      </c>
      <c r="F396" s="83">
        <v>0</v>
      </c>
      <c r="G396" s="83">
        <v>0</v>
      </c>
      <c r="H396" s="83">
        <v>0</v>
      </c>
      <c r="I396" s="83">
        <v>0</v>
      </c>
      <c r="J396" s="83">
        <v>0</v>
      </c>
      <c r="K396" s="83">
        <v>0</v>
      </c>
      <c r="L396" s="83">
        <v>0</v>
      </c>
      <c r="M396" s="83">
        <v>0</v>
      </c>
      <c r="N396" s="83">
        <v>0</v>
      </c>
      <c r="O396" s="83">
        <v>0</v>
      </c>
      <c r="P396" s="83">
        <v>0</v>
      </c>
      <c r="Q396" s="83">
        <v>0</v>
      </c>
      <c r="R396" s="116">
        <f t="shared" si="177"/>
        <v>0</v>
      </c>
      <c r="S396" s="83">
        <f t="shared" si="178"/>
        <v>0</v>
      </c>
      <c r="T396" s="83">
        <f t="shared" si="178"/>
        <v>0</v>
      </c>
      <c r="U396" s="83">
        <f t="shared" si="171"/>
        <v>0</v>
      </c>
      <c r="V396" s="83">
        <f t="shared" si="171"/>
        <v>0</v>
      </c>
      <c r="W396" s="83">
        <f t="shared" si="171"/>
        <v>0</v>
      </c>
      <c r="X396" s="83">
        <f t="shared" si="171"/>
        <v>0</v>
      </c>
      <c r="Y396" s="83">
        <f t="shared" si="171"/>
        <v>0</v>
      </c>
      <c r="Z396" s="83">
        <f t="shared" si="170"/>
        <v>0</v>
      </c>
      <c r="AA396" s="83">
        <f t="shared" si="170"/>
        <v>0</v>
      </c>
      <c r="AB396" s="83">
        <f t="shared" si="170"/>
        <v>0</v>
      </c>
      <c r="AC396" s="83">
        <f t="shared" si="170"/>
        <v>0</v>
      </c>
      <c r="AD396" s="83">
        <f t="shared" si="170"/>
        <v>0</v>
      </c>
      <c r="AE396" s="83">
        <f t="shared" si="179"/>
        <v>0</v>
      </c>
      <c r="AF396" s="83"/>
      <c r="AH396" s="83"/>
      <c r="AI396" s="83"/>
      <c r="BB396" s="101">
        <f t="shared" si="169"/>
        <v>0</v>
      </c>
      <c r="BD396" s="112">
        <f t="shared" si="173"/>
        <v>0</v>
      </c>
      <c r="BE396" s="136">
        <f t="shared" si="174"/>
        <v>0</v>
      </c>
      <c r="BF396" s="137">
        <f t="shared" si="175"/>
        <v>0</v>
      </c>
      <c r="BG396" s="113">
        <f t="shared" si="176"/>
        <v>0</v>
      </c>
    </row>
    <row r="397" spans="1:59" s="62" customFormat="1" outlineLevel="1" x14ac:dyDescent="0.25">
      <c r="A397" s="62" t="str">
        <f t="shared" si="172"/>
        <v>MURREYSROLLOFFROCLEAN</v>
      </c>
      <c r="B397" s="81" t="s">
        <v>1269</v>
      </c>
      <c r="C397" s="81" t="s">
        <v>1270</v>
      </c>
      <c r="D397" s="82">
        <v>7.51</v>
      </c>
      <c r="E397" s="82">
        <v>7.51</v>
      </c>
      <c r="F397" s="83">
        <v>0</v>
      </c>
      <c r="G397" s="83">
        <v>0</v>
      </c>
      <c r="H397" s="83">
        <v>0</v>
      </c>
      <c r="I397" s="83">
        <v>0</v>
      </c>
      <c r="J397" s="83">
        <v>0</v>
      </c>
      <c r="K397" s="83">
        <v>0</v>
      </c>
      <c r="L397" s="83">
        <v>225.3</v>
      </c>
      <c r="M397" s="83">
        <v>0</v>
      </c>
      <c r="N397" s="83">
        <v>225.9</v>
      </c>
      <c r="O397" s="83">
        <v>0</v>
      </c>
      <c r="P397" s="83">
        <v>0</v>
      </c>
      <c r="Q397" s="83">
        <v>0</v>
      </c>
      <c r="R397" s="116">
        <f t="shared" si="177"/>
        <v>451.20000000000005</v>
      </c>
      <c r="S397" s="83">
        <f t="shared" si="178"/>
        <v>0</v>
      </c>
      <c r="T397" s="83">
        <f t="shared" si="178"/>
        <v>0</v>
      </c>
      <c r="U397" s="83">
        <f t="shared" si="171"/>
        <v>0</v>
      </c>
      <c r="V397" s="83">
        <f t="shared" si="171"/>
        <v>0</v>
      </c>
      <c r="W397" s="83">
        <f t="shared" si="171"/>
        <v>0</v>
      </c>
      <c r="X397" s="83">
        <f t="shared" si="171"/>
        <v>0</v>
      </c>
      <c r="Y397" s="83">
        <f t="shared" si="171"/>
        <v>30.000000000000004</v>
      </c>
      <c r="Z397" s="83">
        <f t="shared" si="170"/>
        <v>0</v>
      </c>
      <c r="AA397" s="83">
        <f t="shared" si="170"/>
        <v>30.07989347536618</v>
      </c>
      <c r="AB397" s="83">
        <f t="shared" si="170"/>
        <v>0</v>
      </c>
      <c r="AC397" s="83">
        <f t="shared" si="170"/>
        <v>0</v>
      </c>
      <c r="AD397" s="83">
        <f t="shared" si="170"/>
        <v>0</v>
      </c>
      <c r="AE397" s="83">
        <f t="shared" si="179"/>
        <v>5.0066577896138487</v>
      </c>
      <c r="AF397" s="83"/>
      <c r="AH397" s="83"/>
      <c r="AI397" s="83"/>
      <c r="BB397" s="101">
        <f t="shared" si="169"/>
        <v>451.20000000000005</v>
      </c>
      <c r="BD397" s="112">
        <f t="shared" si="173"/>
        <v>7.55</v>
      </c>
      <c r="BE397" s="136">
        <f t="shared" si="174"/>
        <v>453.60319573901472</v>
      </c>
      <c r="BF397" s="137">
        <f t="shared" si="175"/>
        <v>2.4031957390146772</v>
      </c>
      <c r="BG397" s="113">
        <f t="shared" si="176"/>
        <v>5.3262316910786282E-3</v>
      </c>
    </row>
    <row r="398" spans="1:59" s="62" customFormat="1" outlineLevel="1" x14ac:dyDescent="0.25">
      <c r="A398" s="62" t="str">
        <f t="shared" si="172"/>
        <v>MURREYSROLLOFFRODEL</v>
      </c>
      <c r="B398" s="81" t="s">
        <v>1271</v>
      </c>
      <c r="C398" s="81" t="s">
        <v>1272</v>
      </c>
      <c r="D398" s="82">
        <v>96.77</v>
      </c>
      <c r="E398" s="82">
        <v>96.77</v>
      </c>
      <c r="F398" s="83">
        <v>3677.2599999999998</v>
      </c>
      <c r="G398" s="83">
        <v>3483.72</v>
      </c>
      <c r="H398" s="83">
        <v>4838.5</v>
      </c>
      <c r="I398" s="83">
        <v>5902.97</v>
      </c>
      <c r="J398" s="83">
        <v>6193.2800000000007</v>
      </c>
      <c r="K398" s="83">
        <v>6193.28</v>
      </c>
      <c r="L398" s="83">
        <v>4451.42</v>
      </c>
      <c r="M398" s="83">
        <v>5916.47</v>
      </c>
      <c r="N398" s="83">
        <v>4852</v>
      </c>
      <c r="O398" s="83">
        <v>4269.76</v>
      </c>
      <c r="P398" s="83">
        <v>3590.48</v>
      </c>
      <c r="Q398" s="83">
        <v>4269.76</v>
      </c>
      <c r="R398" s="116">
        <f t="shared" si="177"/>
        <v>57638.900000000009</v>
      </c>
      <c r="S398" s="83">
        <f t="shared" si="178"/>
        <v>38</v>
      </c>
      <c r="T398" s="83">
        <f t="shared" si="178"/>
        <v>36</v>
      </c>
      <c r="U398" s="83">
        <f t="shared" si="171"/>
        <v>50</v>
      </c>
      <c r="V398" s="83">
        <f t="shared" si="171"/>
        <v>61.000000000000007</v>
      </c>
      <c r="W398" s="83">
        <f t="shared" si="171"/>
        <v>64.000000000000014</v>
      </c>
      <c r="X398" s="83">
        <f t="shared" si="171"/>
        <v>64</v>
      </c>
      <c r="Y398" s="83">
        <f t="shared" si="171"/>
        <v>46</v>
      </c>
      <c r="Z398" s="83">
        <f t="shared" si="170"/>
        <v>61.139506045261967</v>
      </c>
      <c r="AA398" s="83">
        <f t="shared" si="170"/>
        <v>50.13950604526196</v>
      </c>
      <c r="AB398" s="83">
        <f t="shared" si="170"/>
        <v>44.122765319830528</v>
      </c>
      <c r="AC398" s="83">
        <f t="shared" si="170"/>
        <v>37.103234473493856</v>
      </c>
      <c r="AD398" s="83">
        <f t="shared" si="170"/>
        <v>44.122765319830528</v>
      </c>
      <c r="AE398" s="83">
        <f t="shared" si="179"/>
        <v>49.635648100306561</v>
      </c>
      <c r="AF398" s="83"/>
      <c r="AH398" s="83"/>
      <c r="AI398" s="83"/>
      <c r="BB398" s="101">
        <f t="shared" si="169"/>
        <v>57638.899999999994</v>
      </c>
      <c r="BD398" s="112">
        <f t="shared" si="173"/>
        <v>97.22</v>
      </c>
      <c r="BE398" s="136">
        <f t="shared" si="174"/>
        <v>57906.932499741641</v>
      </c>
      <c r="BF398" s="137">
        <f t="shared" si="175"/>
        <v>268.03249974164646</v>
      </c>
      <c r="BG398" s="113">
        <f t="shared" si="176"/>
        <v>4.6502015087318896E-3</v>
      </c>
    </row>
    <row r="399" spans="1:59" s="62" customFormat="1" outlineLevel="1" x14ac:dyDescent="0.25">
      <c r="A399" s="62" t="str">
        <f t="shared" si="172"/>
        <v>MURREYSROLLOFFRELO-RO</v>
      </c>
      <c r="B399" s="81" t="s">
        <v>1273</v>
      </c>
      <c r="C399" s="81" t="s">
        <v>1274</v>
      </c>
      <c r="D399" s="82">
        <v>0</v>
      </c>
      <c r="E399" s="82">
        <v>0</v>
      </c>
      <c r="F399" s="83">
        <v>0</v>
      </c>
      <c r="G399" s="83">
        <v>0</v>
      </c>
      <c r="H399" s="83">
        <v>0</v>
      </c>
      <c r="I399" s="83">
        <v>0</v>
      </c>
      <c r="J399" s="83">
        <v>0</v>
      </c>
      <c r="K399" s="83">
        <v>0</v>
      </c>
      <c r="L399" s="83">
        <v>0</v>
      </c>
      <c r="M399" s="83">
        <v>0</v>
      </c>
      <c r="N399" s="83">
        <v>0</v>
      </c>
      <c r="O399" s="83">
        <v>0</v>
      </c>
      <c r="P399" s="83">
        <v>0</v>
      </c>
      <c r="Q399" s="83">
        <v>0</v>
      </c>
      <c r="R399" s="116">
        <f t="shared" si="177"/>
        <v>0</v>
      </c>
      <c r="S399" s="83">
        <f t="shared" si="178"/>
        <v>0</v>
      </c>
      <c r="T399" s="83">
        <f t="shared" si="178"/>
        <v>0</v>
      </c>
      <c r="U399" s="83">
        <f t="shared" si="171"/>
        <v>0</v>
      </c>
      <c r="V399" s="83">
        <f t="shared" si="171"/>
        <v>0</v>
      </c>
      <c r="W399" s="83">
        <f t="shared" si="171"/>
        <v>0</v>
      </c>
      <c r="X399" s="83">
        <f t="shared" si="171"/>
        <v>0</v>
      </c>
      <c r="Y399" s="83">
        <f t="shared" si="171"/>
        <v>0</v>
      </c>
      <c r="Z399" s="83">
        <f t="shared" si="170"/>
        <v>0</v>
      </c>
      <c r="AA399" s="83">
        <f t="shared" si="170"/>
        <v>0</v>
      </c>
      <c r="AB399" s="83">
        <f t="shared" si="170"/>
        <v>0</v>
      </c>
      <c r="AC399" s="83">
        <f t="shared" si="170"/>
        <v>0</v>
      </c>
      <c r="AD399" s="83">
        <f t="shared" si="170"/>
        <v>0</v>
      </c>
      <c r="AE399" s="83">
        <f t="shared" si="179"/>
        <v>0</v>
      </c>
      <c r="AF399" s="83"/>
      <c r="AH399" s="83"/>
      <c r="AI399" s="83"/>
      <c r="BB399" s="101">
        <f t="shared" si="169"/>
        <v>0</v>
      </c>
      <c r="BD399" s="112">
        <f t="shared" si="173"/>
        <v>0</v>
      </c>
      <c r="BE399" s="136">
        <f t="shared" si="174"/>
        <v>0</v>
      </c>
      <c r="BF399" s="137">
        <f t="shared" si="175"/>
        <v>0</v>
      </c>
      <c r="BG399" s="113">
        <f t="shared" si="176"/>
        <v>0</v>
      </c>
    </row>
    <row r="400" spans="1:59" s="62" customFormat="1" outlineLevel="1" x14ac:dyDescent="0.25">
      <c r="A400" s="62" t="str">
        <f t="shared" si="172"/>
        <v>MURREYSROLLOFFRESTART FEE-RO</v>
      </c>
      <c r="B400" s="81" t="s">
        <v>1275</v>
      </c>
      <c r="C400" s="81" t="s">
        <v>670</v>
      </c>
      <c r="D400" s="82">
        <v>0</v>
      </c>
      <c r="E400" s="82">
        <v>0</v>
      </c>
      <c r="F400" s="83">
        <v>0</v>
      </c>
      <c r="G400" s="83">
        <v>0</v>
      </c>
      <c r="H400" s="83">
        <v>0</v>
      </c>
      <c r="I400" s="83">
        <v>0</v>
      </c>
      <c r="J400" s="83">
        <v>0</v>
      </c>
      <c r="K400" s="83">
        <v>11.19</v>
      </c>
      <c r="L400" s="83">
        <v>11.19</v>
      </c>
      <c r="M400" s="83">
        <v>0</v>
      </c>
      <c r="N400" s="83">
        <v>0</v>
      </c>
      <c r="O400" s="83">
        <v>0</v>
      </c>
      <c r="P400" s="83">
        <v>22.44</v>
      </c>
      <c r="Q400" s="83">
        <v>11.22</v>
      </c>
      <c r="R400" s="116">
        <f t="shared" si="177"/>
        <v>56.04</v>
      </c>
      <c r="S400" s="83">
        <f t="shared" si="178"/>
        <v>0</v>
      </c>
      <c r="T400" s="83">
        <f t="shared" si="178"/>
        <v>0</v>
      </c>
      <c r="U400" s="83">
        <f t="shared" si="171"/>
        <v>0</v>
      </c>
      <c r="V400" s="83">
        <f t="shared" si="171"/>
        <v>0</v>
      </c>
      <c r="W400" s="83">
        <f t="shared" si="171"/>
        <v>0</v>
      </c>
      <c r="X400" s="83">
        <f t="shared" si="171"/>
        <v>0</v>
      </c>
      <c r="Y400" s="83">
        <f t="shared" si="171"/>
        <v>0</v>
      </c>
      <c r="Z400" s="83">
        <f t="shared" si="170"/>
        <v>0</v>
      </c>
      <c r="AA400" s="83">
        <f t="shared" si="170"/>
        <v>0</v>
      </c>
      <c r="AB400" s="83">
        <f t="shared" si="170"/>
        <v>0</v>
      </c>
      <c r="AC400" s="83">
        <f t="shared" si="170"/>
        <v>0</v>
      </c>
      <c r="AD400" s="83">
        <f t="shared" si="170"/>
        <v>0</v>
      </c>
      <c r="AE400" s="83">
        <f t="shared" si="179"/>
        <v>0</v>
      </c>
      <c r="AF400" s="83"/>
      <c r="AH400" s="83"/>
      <c r="AI400" s="83"/>
      <c r="BB400" s="101">
        <f t="shared" si="169"/>
        <v>0</v>
      </c>
      <c r="BD400" s="112">
        <f t="shared" si="173"/>
        <v>0</v>
      </c>
      <c r="BE400" s="136">
        <f t="shared" si="174"/>
        <v>0</v>
      </c>
      <c r="BF400" s="137">
        <f t="shared" si="175"/>
        <v>0</v>
      </c>
      <c r="BG400" s="113">
        <f t="shared" si="176"/>
        <v>0</v>
      </c>
    </row>
    <row r="401" spans="1:59" s="62" customFormat="1" outlineLevel="1" x14ac:dyDescent="0.25">
      <c r="A401" s="62" t="str">
        <f t="shared" si="172"/>
        <v>MURREYSROLLOFFTARP-RO</v>
      </c>
      <c r="B401" s="81" t="s">
        <v>1276</v>
      </c>
      <c r="C401" s="81" t="s">
        <v>1277</v>
      </c>
      <c r="D401" s="82">
        <v>12.94</v>
      </c>
      <c r="E401" s="82">
        <v>12.94</v>
      </c>
      <c r="F401" s="83">
        <v>659.94</v>
      </c>
      <c r="G401" s="83">
        <v>569.36</v>
      </c>
      <c r="H401" s="83">
        <v>647</v>
      </c>
      <c r="I401" s="83">
        <v>388.2</v>
      </c>
      <c r="J401" s="83">
        <v>465.84000000000003</v>
      </c>
      <c r="K401" s="83">
        <v>517.6</v>
      </c>
      <c r="L401" s="83">
        <v>543.48</v>
      </c>
      <c r="M401" s="83">
        <v>479.93999999999994</v>
      </c>
      <c r="N401" s="83">
        <v>545.16000000000008</v>
      </c>
      <c r="O401" s="83">
        <v>480.26</v>
      </c>
      <c r="P401" s="83">
        <v>506.22</v>
      </c>
      <c r="Q401" s="83">
        <v>571.12</v>
      </c>
      <c r="R401" s="116">
        <f t="shared" si="177"/>
        <v>6374.12</v>
      </c>
      <c r="S401" s="83">
        <f t="shared" si="178"/>
        <v>51.000000000000007</v>
      </c>
      <c r="T401" s="83">
        <f t="shared" si="178"/>
        <v>44</v>
      </c>
      <c r="U401" s="83">
        <f t="shared" si="171"/>
        <v>50</v>
      </c>
      <c r="V401" s="83">
        <f t="shared" si="171"/>
        <v>30</v>
      </c>
      <c r="W401" s="83">
        <f t="shared" si="171"/>
        <v>36.000000000000007</v>
      </c>
      <c r="X401" s="83">
        <f t="shared" si="171"/>
        <v>40</v>
      </c>
      <c r="Y401" s="83">
        <f t="shared" si="171"/>
        <v>42</v>
      </c>
      <c r="Z401" s="83">
        <f t="shared" si="170"/>
        <v>37.089644513137557</v>
      </c>
      <c r="AA401" s="83">
        <f t="shared" si="170"/>
        <v>42.12982998454406</v>
      </c>
      <c r="AB401" s="83">
        <f t="shared" si="170"/>
        <v>37.114374034003092</v>
      </c>
      <c r="AC401" s="83">
        <f t="shared" si="170"/>
        <v>39.120556414219479</v>
      </c>
      <c r="AD401" s="83">
        <f t="shared" si="170"/>
        <v>44.136012364760433</v>
      </c>
      <c r="AE401" s="83">
        <f t="shared" si="179"/>
        <v>41.049201442555386</v>
      </c>
      <c r="AF401" s="83"/>
      <c r="AH401" s="83"/>
      <c r="AI401" s="83"/>
      <c r="BB401" s="101">
        <f t="shared" si="169"/>
        <v>6374.1200000000008</v>
      </c>
      <c r="BD401" s="112">
        <f t="shared" si="173"/>
        <v>13</v>
      </c>
      <c r="BE401" s="136">
        <f t="shared" si="174"/>
        <v>6403.6754250386402</v>
      </c>
      <c r="BF401" s="137">
        <f t="shared" si="175"/>
        <v>29.555425038639441</v>
      </c>
      <c r="BG401" s="113">
        <f t="shared" si="176"/>
        <v>4.6367851622874118E-3</v>
      </c>
    </row>
    <row r="402" spans="1:59" s="62" customFormat="1" outlineLevel="1" x14ac:dyDescent="0.25">
      <c r="A402" s="62" t="str">
        <f t="shared" si="172"/>
        <v>MURREYSROLLOFFTIME-RO</v>
      </c>
      <c r="B402" s="81" t="s">
        <v>1278</v>
      </c>
      <c r="C402" s="81" t="s">
        <v>1279</v>
      </c>
      <c r="D402" s="82">
        <v>103.29</v>
      </c>
      <c r="E402" s="82">
        <v>103.29</v>
      </c>
      <c r="F402" s="83">
        <v>490.64000000000004</v>
      </c>
      <c r="G402" s="83">
        <v>877.99</v>
      </c>
      <c r="H402" s="83">
        <v>570.66</v>
      </c>
      <c r="I402" s="83">
        <v>699.79</v>
      </c>
      <c r="J402" s="83">
        <v>800.48</v>
      </c>
      <c r="K402" s="83">
        <v>542.26</v>
      </c>
      <c r="L402" s="83">
        <v>593.94000000000005</v>
      </c>
      <c r="M402" s="83">
        <v>414.13</v>
      </c>
      <c r="N402" s="83">
        <v>569.73</v>
      </c>
      <c r="O402" s="83">
        <v>7975.74</v>
      </c>
      <c r="P402" s="83">
        <v>4437.38</v>
      </c>
      <c r="Q402" s="83">
        <v>1165.3799999999999</v>
      </c>
      <c r="R402" s="116">
        <f t="shared" si="177"/>
        <v>19138.120000000003</v>
      </c>
      <c r="S402" s="83">
        <f t="shared" si="178"/>
        <v>4.750121018491626</v>
      </c>
      <c r="T402" s="83">
        <f t="shared" si="178"/>
        <v>8.5002420369832503</v>
      </c>
      <c r="U402" s="83">
        <f t="shared" si="171"/>
        <v>5.5248329944815557</v>
      </c>
      <c r="V402" s="83">
        <f t="shared" si="171"/>
        <v>6.775002420369832</v>
      </c>
      <c r="W402" s="83">
        <f t="shared" si="171"/>
        <v>7.7498305741117237</v>
      </c>
      <c r="X402" s="83">
        <f t="shared" si="171"/>
        <v>5.249878981508374</v>
      </c>
      <c r="Y402" s="83">
        <f t="shared" si="171"/>
        <v>5.7502178332849265</v>
      </c>
      <c r="Z402" s="83">
        <f t="shared" si="170"/>
        <v>4.0093910349501405</v>
      </c>
      <c r="AA402" s="83">
        <f t="shared" si="170"/>
        <v>5.5158292187046181</v>
      </c>
      <c r="AB402" s="83">
        <f t="shared" si="170"/>
        <v>77.216961951786232</v>
      </c>
      <c r="AC402" s="83">
        <f t="shared" si="170"/>
        <v>42.96040274954013</v>
      </c>
      <c r="AD402" s="83">
        <f t="shared" si="170"/>
        <v>11.282602381643914</v>
      </c>
      <c r="AE402" s="83">
        <f t="shared" si="179"/>
        <v>15.440442766321361</v>
      </c>
      <c r="AF402" s="83"/>
      <c r="AH402" s="83"/>
      <c r="AI402" s="83"/>
      <c r="BB402" s="101">
        <f t="shared" si="169"/>
        <v>19138.120000000003</v>
      </c>
      <c r="BD402" s="112">
        <f t="shared" si="173"/>
        <v>103.77</v>
      </c>
      <c r="BE402" s="136">
        <f t="shared" si="174"/>
        <v>19227.056950334008</v>
      </c>
      <c r="BF402" s="137">
        <f t="shared" si="175"/>
        <v>88.936950334005815</v>
      </c>
      <c r="BG402" s="113">
        <f t="shared" si="176"/>
        <v>4.6471100784197094E-3</v>
      </c>
    </row>
    <row r="403" spans="1:59" s="62" customFormat="1" outlineLevel="1" x14ac:dyDescent="0.25">
      <c r="A403" s="62" t="str">
        <f t="shared" si="172"/>
        <v>MURREYSROLLOFFTRACTORHRTL</v>
      </c>
      <c r="B403" s="81" t="s">
        <v>1280</v>
      </c>
      <c r="C403" s="81" t="s">
        <v>1281</v>
      </c>
      <c r="D403" s="82">
        <v>0</v>
      </c>
      <c r="E403" s="82">
        <v>0</v>
      </c>
      <c r="F403" s="83">
        <v>0</v>
      </c>
      <c r="G403" s="83">
        <v>0</v>
      </c>
      <c r="H403" s="83">
        <v>0</v>
      </c>
      <c r="I403" s="83">
        <v>0</v>
      </c>
      <c r="J403" s="83">
        <v>0</v>
      </c>
      <c r="K403" s="83">
        <v>0</v>
      </c>
      <c r="L403" s="83">
        <v>0</v>
      </c>
      <c r="M403" s="83">
        <v>0</v>
      </c>
      <c r="N403" s="83">
        <v>0</v>
      </c>
      <c r="O403" s="83">
        <v>0</v>
      </c>
      <c r="P403" s="83">
        <v>0</v>
      </c>
      <c r="Q403" s="83">
        <v>0</v>
      </c>
      <c r="R403" s="116">
        <f t="shared" si="177"/>
        <v>0</v>
      </c>
      <c r="S403" s="83">
        <f t="shared" si="178"/>
        <v>0</v>
      </c>
      <c r="T403" s="83">
        <f t="shared" si="178"/>
        <v>0</v>
      </c>
      <c r="U403" s="83">
        <f t="shared" si="171"/>
        <v>0</v>
      </c>
      <c r="V403" s="83">
        <f t="shared" si="171"/>
        <v>0</v>
      </c>
      <c r="W403" s="83">
        <f t="shared" si="171"/>
        <v>0</v>
      </c>
      <c r="X403" s="83">
        <f t="shared" si="171"/>
        <v>0</v>
      </c>
      <c r="Y403" s="83">
        <f t="shared" si="171"/>
        <v>0</v>
      </c>
      <c r="Z403" s="83">
        <f t="shared" si="170"/>
        <v>0</v>
      </c>
      <c r="AA403" s="83">
        <f t="shared" si="170"/>
        <v>0</v>
      </c>
      <c r="AB403" s="83">
        <f t="shared" si="170"/>
        <v>0</v>
      </c>
      <c r="AC403" s="83">
        <f t="shared" si="170"/>
        <v>0</v>
      </c>
      <c r="AD403" s="83">
        <f t="shared" si="170"/>
        <v>0</v>
      </c>
      <c r="AE403" s="83">
        <f t="shared" si="179"/>
        <v>0</v>
      </c>
      <c r="AF403" s="83"/>
      <c r="AH403" s="83"/>
      <c r="AI403" s="83"/>
      <c r="BB403" s="101">
        <f t="shared" si="169"/>
        <v>0</v>
      </c>
      <c r="BD403" s="112">
        <f t="shared" si="173"/>
        <v>0</v>
      </c>
      <c r="BE403" s="136">
        <f t="shared" si="174"/>
        <v>0</v>
      </c>
      <c r="BF403" s="137">
        <f t="shared" si="175"/>
        <v>0</v>
      </c>
      <c r="BG403" s="113">
        <f t="shared" si="176"/>
        <v>0</v>
      </c>
    </row>
    <row r="404" spans="1:59" s="62" customFormat="1" outlineLevel="1" x14ac:dyDescent="0.25">
      <c r="A404" s="62" t="str">
        <f t="shared" si="172"/>
        <v>MURREYSROLLOFFOT-RO</v>
      </c>
      <c r="B404" s="81" t="s">
        <v>1282</v>
      </c>
      <c r="C404" s="81" t="s">
        <v>1283</v>
      </c>
      <c r="D404" s="82">
        <v>76.099999999999994</v>
      </c>
      <c r="E404" s="82">
        <v>76.099999999999994</v>
      </c>
      <c r="F404" s="83">
        <v>152.19999999999999</v>
      </c>
      <c r="G404" s="83">
        <v>0</v>
      </c>
      <c r="H404" s="83">
        <v>0</v>
      </c>
      <c r="I404" s="83">
        <v>0</v>
      </c>
      <c r="J404" s="83">
        <v>304.39999999999998</v>
      </c>
      <c r="K404" s="83">
        <v>0</v>
      </c>
      <c r="L404" s="83">
        <v>0</v>
      </c>
      <c r="M404" s="83">
        <v>0</v>
      </c>
      <c r="N404" s="83">
        <v>0</v>
      </c>
      <c r="O404" s="83">
        <v>0</v>
      </c>
      <c r="P404" s="83">
        <v>0</v>
      </c>
      <c r="Q404" s="83">
        <v>0</v>
      </c>
      <c r="R404" s="116">
        <f t="shared" si="177"/>
        <v>456.59999999999997</v>
      </c>
      <c r="S404" s="83">
        <f t="shared" si="178"/>
        <v>2</v>
      </c>
      <c r="T404" s="83">
        <f t="shared" si="178"/>
        <v>0</v>
      </c>
      <c r="U404" s="83">
        <f t="shared" si="171"/>
        <v>0</v>
      </c>
      <c r="V404" s="83">
        <f t="shared" si="171"/>
        <v>0</v>
      </c>
      <c r="W404" s="83">
        <f t="shared" si="171"/>
        <v>4</v>
      </c>
      <c r="X404" s="83">
        <f t="shared" si="171"/>
        <v>0</v>
      </c>
      <c r="Y404" s="83">
        <f t="shared" si="171"/>
        <v>0</v>
      </c>
      <c r="Z404" s="83">
        <f t="shared" si="170"/>
        <v>0</v>
      </c>
      <c r="AA404" s="83">
        <f t="shared" si="170"/>
        <v>0</v>
      </c>
      <c r="AB404" s="83">
        <f t="shared" si="170"/>
        <v>0</v>
      </c>
      <c r="AC404" s="83">
        <f t="shared" si="170"/>
        <v>0</v>
      </c>
      <c r="AD404" s="83">
        <f t="shared" si="170"/>
        <v>0</v>
      </c>
      <c r="AE404" s="83">
        <f t="shared" si="179"/>
        <v>0.5</v>
      </c>
      <c r="AF404" s="83"/>
      <c r="AH404" s="83"/>
      <c r="AI404" s="83"/>
      <c r="BB404" s="101">
        <f t="shared" si="169"/>
        <v>456.59999999999997</v>
      </c>
      <c r="BD404" s="112">
        <f t="shared" si="173"/>
        <v>76.459999999999994</v>
      </c>
      <c r="BE404" s="136">
        <f t="shared" si="174"/>
        <v>458.76</v>
      </c>
      <c r="BF404" s="137">
        <f t="shared" si="175"/>
        <v>2.160000000000025</v>
      </c>
      <c r="BG404" s="113">
        <f t="shared" si="176"/>
        <v>4.7306176084100423E-3</v>
      </c>
    </row>
    <row r="405" spans="1:59" s="62" customFormat="1" outlineLevel="1" x14ac:dyDescent="0.25">
      <c r="A405" s="62" t="str">
        <f t="shared" si="172"/>
        <v>MURREYSROLLOFFADMINRO</v>
      </c>
      <c r="B405" s="81" t="s">
        <v>1284</v>
      </c>
      <c r="C405" s="81" t="s">
        <v>1285</v>
      </c>
      <c r="D405" s="82">
        <v>0</v>
      </c>
      <c r="E405" s="82">
        <v>0</v>
      </c>
      <c r="F405" s="83">
        <v>0</v>
      </c>
      <c r="G405" s="83">
        <v>0</v>
      </c>
      <c r="H405" s="83">
        <v>0</v>
      </c>
      <c r="I405" s="83">
        <v>0</v>
      </c>
      <c r="J405" s="83">
        <v>0</v>
      </c>
      <c r="K405" s="83">
        <v>0</v>
      </c>
      <c r="L405" s="83">
        <v>0</v>
      </c>
      <c r="M405" s="83">
        <v>0</v>
      </c>
      <c r="N405" s="83">
        <v>0</v>
      </c>
      <c r="O405" s="83">
        <v>0</v>
      </c>
      <c r="P405" s="83">
        <v>0</v>
      </c>
      <c r="Q405" s="83">
        <v>0</v>
      </c>
      <c r="R405" s="116">
        <f t="shared" si="177"/>
        <v>0</v>
      </c>
      <c r="S405" s="83">
        <f t="shared" si="178"/>
        <v>0</v>
      </c>
      <c r="T405" s="83">
        <f t="shared" si="178"/>
        <v>0</v>
      </c>
      <c r="U405" s="83">
        <f t="shared" si="171"/>
        <v>0</v>
      </c>
      <c r="V405" s="83">
        <f t="shared" si="171"/>
        <v>0</v>
      </c>
      <c r="W405" s="83">
        <f t="shared" si="171"/>
        <v>0</v>
      </c>
      <c r="X405" s="83">
        <f t="shared" si="171"/>
        <v>0</v>
      </c>
      <c r="Y405" s="83">
        <f t="shared" si="171"/>
        <v>0</v>
      </c>
      <c r="Z405" s="83">
        <f t="shared" si="170"/>
        <v>0</v>
      </c>
      <c r="AA405" s="83">
        <f t="shared" si="170"/>
        <v>0</v>
      </c>
      <c r="AB405" s="83">
        <f t="shared" si="170"/>
        <v>0</v>
      </c>
      <c r="AC405" s="83">
        <f t="shared" si="170"/>
        <v>0</v>
      </c>
      <c r="AD405" s="83">
        <f t="shared" si="170"/>
        <v>0</v>
      </c>
      <c r="AE405" s="83">
        <f t="shared" si="179"/>
        <v>0</v>
      </c>
      <c r="AF405" s="83"/>
      <c r="AH405" s="83"/>
      <c r="AI405" s="83"/>
      <c r="BB405" s="101">
        <f t="shared" si="169"/>
        <v>0</v>
      </c>
      <c r="BD405" s="112">
        <f t="shared" si="173"/>
        <v>0</v>
      </c>
      <c r="BE405" s="136">
        <f t="shared" si="174"/>
        <v>0</v>
      </c>
      <c r="BF405" s="137">
        <f t="shared" si="175"/>
        <v>0</v>
      </c>
      <c r="BG405" s="113">
        <f t="shared" si="176"/>
        <v>0</v>
      </c>
    </row>
    <row r="406" spans="1:59" s="62" customFormat="1" outlineLevel="1" x14ac:dyDescent="0.25">
      <c r="A406" s="62" t="str">
        <f t="shared" si="172"/>
        <v>MURREYSROLLOFFROMILE</v>
      </c>
      <c r="B406" s="81" t="s">
        <v>1286</v>
      </c>
      <c r="C406" s="81" t="s">
        <v>1287</v>
      </c>
      <c r="D406" s="82">
        <v>3.81</v>
      </c>
      <c r="E406" s="82">
        <v>3.81</v>
      </c>
      <c r="F406" s="83">
        <v>49454.759999999995</v>
      </c>
      <c r="G406" s="83">
        <v>44119.8</v>
      </c>
      <c r="H406" s="83">
        <v>48370.81</v>
      </c>
      <c r="I406" s="83">
        <v>39044.880000000005</v>
      </c>
      <c r="J406" s="83">
        <v>37325.17</v>
      </c>
      <c r="K406" s="83">
        <v>42396.28</v>
      </c>
      <c r="L406" s="83">
        <v>43548.3</v>
      </c>
      <c r="M406" s="83">
        <v>41651.839999999997</v>
      </c>
      <c r="N406" s="83">
        <v>43318.020000000004</v>
      </c>
      <c r="O406" s="83">
        <v>42947.810000000005</v>
      </c>
      <c r="P406" s="83">
        <v>40946.080000000002</v>
      </c>
      <c r="Q406" s="83">
        <v>45342</v>
      </c>
      <c r="R406" s="116">
        <f t="shared" si="177"/>
        <v>518465.75</v>
      </c>
      <c r="S406" s="83">
        <f t="shared" si="178"/>
        <v>12980.251968503935</v>
      </c>
      <c r="T406" s="83">
        <f t="shared" si="178"/>
        <v>11580</v>
      </c>
      <c r="U406" s="83">
        <f t="shared" si="171"/>
        <v>12695.750656167978</v>
      </c>
      <c r="V406" s="83">
        <f t="shared" si="171"/>
        <v>10248.000000000002</v>
      </c>
      <c r="W406" s="83">
        <f t="shared" si="171"/>
        <v>9796.6325459317577</v>
      </c>
      <c r="X406" s="83">
        <f t="shared" si="171"/>
        <v>11127.632545931758</v>
      </c>
      <c r="Y406" s="83">
        <f t="shared" si="171"/>
        <v>11430</v>
      </c>
      <c r="Z406" s="83">
        <f t="shared" si="170"/>
        <v>10932.241469816272</v>
      </c>
      <c r="AA406" s="83">
        <f t="shared" si="170"/>
        <v>11369.55905511811</v>
      </c>
      <c r="AB406" s="83">
        <f t="shared" si="170"/>
        <v>11272.391076115488</v>
      </c>
      <c r="AC406" s="83">
        <f t="shared" si="170"/>
        <v>10747.002624671917</v>
      </c>
      <c r="AD406" s="83">
        <f t="shared" si="170"/>
        <v>11900.787401574804</v>
      </c>
      <c r="AE406" s="83">
        <f t="shared" si="179"/>
        <v>11340.020778652668</v>
      </c>
      <c r="AF406" s="83"/>
      <c r="AH406" s="83"/>
      <c r="AI406" s="83"/>
      <c r="BB406" s="101">
        <f t="shared" si="169"/>
        <v>518465.75</v>
      </c>
      <c r="BD406" s="112">
        <f t="shared" si="173"/>
        <v>3.83</v>
      </c>
      <c r="BE406" s="136">
        <f t="shared" si="174"/>
        <v>521187.3549868766</v>
      </c>
      <c r="BF406" s="137">
        <f t="shared" si="175"/>
        <v>2721.6049868765986</v>
      </c>
      <c r="BG406" s="113">
        <f t="shared" si="176"/>
        <v>5.2493438320209166E-3</v>
      </c>
    </row>
    <row r="407" spans="1:59" s="62" customFormat="1" outlineLevel="1" x14ac:dyDescent="0.25">
      <c r="A407" s="62" t="str">
        <f t="shared" si="172"/>
        <v>MURREYSROLLOFFRORELOCATE</v>
      </c>
      <c r="B407" s="81" t="s">
        <v>1288</v>
      </c>
      <c r="C407" s="81" t="s">
        <v>1289</v>
      </c>
      <c r="D407" s="82">
        <v>96.77</v>
      </c>
      <c r="E407" s="82">
        <v>96.77</v>
      </c>
      <c r="F407" s="83">
        <v>0</v>
      </c>
      <c r="G407" s="83">
        <v>96.77</v>
      </c>
      <c r="H407" s="83">
        <v>193.54</v>
      </c>
      <c r="I407" s="83">
        <v>96.77</v>
      </c>
      <c r="J407" s="83">
        <v>0</v>
      </c>
      <c r="K407" s="83">
        <v>0</v>
      </c>
      <c r="L407" s="83">
        <v>0</v>
      </c>
      <c r="M407" s="83">
        <v>194.62</v>
      </c>
      <c r="N407" s="83">
        <v>194.62</v>
      </c>
      <c r="O407" s="83">
        <v>0</v>
      </c>
      <c r="P407" s="83">
        <v>194.62</v>
      </c>
      <c r="Q407" s="83">
        <v>194.62</v>
      </c>
      <c r="R407" s="116">
        <f t="shared" si="177"/>
        <v>1165.56</v>
      </c>
      <c r="S407" s="83">
        <f t="shared" si="178"/>
        <v>0</v>
      </c>
      <c r="T407" s="83">
        <f t="shared" si="178"/>
        <v>1</v>
      </c>
      <c r="U407" s="83">
        <f t="shared" si="171"/>
        <v>2</v>
      </c>
      <c r="V407" s="83">
        <f t="shared" si="171"/>
        <v>1</v>
      </c>
      <c r="W407" s="83">
        <f t="shared" si="171"/>
        <v>0</v>
      </c>
      <c r="X407" s="83">
        <f t="shared" si="171"/>
        <v>0</v>
      </c>
      <c r="Y407" s="83">
        <f t="shared" si="171"/>
        <v>0</v>
      </c>
      <c r="Z407" s="83">
        <f t="shared" si="170"/>
        <v>2.0111604836209569</v>
      </c>
      <c r="AA407" s="83">
        <f t="shared" si="170"/>
        <v>2.0111604836209569</v>
      </c>
      <c r="AB407" s="83">
        <f t="shared" si="170"/>
        <v>0</v>
      </c>
      <c r="AC407" s="83">
        <f t="shared" si="170"/>
        <v>2.0111604836209569</v>
      </c>
      <c r="AD407" s="83">
        <f t="shared" si="170"/>
        <v>2.0111604836209569</v>
      </c>
      <c r="AE407" s="83">
        <f t="shared" si="179"/>
        <v>1.0037201612069857</v>
      </c>
      <c r="AF407" s="83"/>
      <c r="AH407" s="83"/>
      <c r="AI407" s="83"/>
      <c r="BB407" s="101">
        <f t="shared" si="169"/>
        <v>1165.5600000000002</v>
      </c>
      <c r="BD407" s="112">
        <f t="shared" si="173"/>
        <v>97.22</v>
      </c>
      <c r="BE407" s="136">
        <f t="shared" si="174"/>
        <v>1170.9800888705179</v>
      </c>
      <c r="BF407" s="137">
        <f t="shared" si="175"/>
        <v>5.4200888705177022</v>
      </c>
      <c r="BG407" s="113">
        <f t="shared" si="176"/>
        <v>4.6502015087320266E-3</v>
      </c>
    </row>
    <row r="408" spans="1:59" s="62" customFormat="1" outlineLevel="1" x14ac:dyDescent="0.25">
      <c r="B408" s="81"/>
      <c r="C408" s="81"/>
      <c r="D408" s="82"/>
      <c r="E408" s="82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117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H408" s="83"/>
      <c r="AI408" s="83"/>
      <c r="BB408" s="101"/>
    </row>
    <row r="409" spans="1:59" s="62" customFormat="1" ht="15.75" outlineLevel="1" thickBot="1" x14ac:dyDescent="0.3">
      <c r="B409" s="81"/>
      <c r="C409" s="85" t="s">
        <v>1290</v>
      </c>
      <c r="D409" s="82"/>
      <c r="E409" s="82"/>
      <c r="F409" s="86">
        <f t="shared" ref="F409:R409" si="180">SUM(F324:F408)</f>
        <v>225936.84000000008</v>
      </c>
      <c r="G409" s="86">
        <f t="shared" si="180"/>
        <v>201109.02999999994</v>
      </c>
      <c r="H409" s="86">
        <f t="shared" si="180"/>
        <v>217939.09000000003</v>
      </c>
      <c r="I409" s="86">
        <f t="shared" si="180"/>
        <v>191439.58000000005</v>
      </c>
      <c r="J409" s="86">
        <f t="shared" si="180"/>
        <v>189625.05999999994</v>
      </c>
      <c r="K409" s="86">
        <f t="shared" si="180"/>
        <v>207496.49000000005</v>
      </c>
      <c r="L409" s="86">
        <f t="shared" si="180"/>
        <v>210693.69999999995</v>
      </c>
      <c r="M409" s="86">
        <f t="shared" si="180"/>
        <v>203102.13</v>
      </c>
      <c r="N409" s="86">
        <f t="shared" si="180"/>
        <v>211434.13999999996</v>
      </c>
      <c r="O409" s="86">
        <f t="shared" si="180"/>
        <v>207880.05000000005</v>
      </c>
      <c r="P409" s="86">
        <f t="shared" si="180"/>
        <v>199683.94</v>
      </c>
      <c r="Q409" s="86">
        <f t="shared" si="180"/>
        <v>212093.68000000005</v>
      </c>
      <c r="R409" s="86">
        <f t="shared" si="180"/>
        <v>2478433.73</v>
      </c>
      <c r="S409" s="86">
        <f t="shared" ref="S409:AE409" si="181">+SUM(S345:S355)</f>
        <v>266.18810050321554</v>
      </c>
      <c r="T409" s="86">
        <f t="shared" si="181"/>
        <v>267.90340457202132</v>
      </c>
      <c r="U409" s="86">
        <f t="shared" si="181"/>
        <v>269.59346998703739</v>
      </c>
      <c r="V409" s="86">
        <f t="shared" si="181"/>
        <v>273.22063238386596</v>
      </c>
      <c r="W409" s="86">
        <f t="shared" si="181"/>
        <v>285.7284545315959</v>
      </c>
      <c r="X409" s="86">
        <f t="shared" si="181"/>
        <v>281.72086807419811</v>
      </c>
      <c r="Y409" s="86">
        <f t="shared" si="181"/>
        <v>281.84774752885005</v>
      </c>
      <c r="Z409" s="86">
        <f t="shared" si="181"/>
        <v>288.39059503303179</v>
      </c>
      <c r="AA409" s="86">
        <f t="shared" si="181"/>
        <v>283.65418015012403</v>
      </c>
      <c r="AB409" s="86">
        <f t="shared" si="181"/>
        <v>278.29898711875109</v>
      </c>
      <c r="AC409" s="86">
        <f t="shared" si="181"/>
        <v>275.62058647239627</v>
      </c>
      <c r="AD409" s="86">
        <f t="shared" si="181"/>
        <v>275.32278358381529</v>
      </c>
      <c r="AE409" s="86">
        <f t="shared" si="181"/>
        <v>277.29081749490854</v>
      </c>
      <c r="AF409" s="87"/>
      <c r="AH409" s="83"/>
      <c r="AI409" s="83"/>
      <c r="AK409" s="61"/>
      <c r="AL409" s="61"/>
      <c r="BB409" s="134">
        <f>SUM(BB324:BB408)</f>
        <v>2467538.54</v>
      </c>
      <c r="BE409" s="118">
        <f>SUM(BE324:BE408)</f>
        <v>2479345.3879469782</v>
      </c>
      <c r="BF409" s="118">
        <f>SUM(BF324:BF408)</f>
        <v>11806.847946978</v>
      </c>
      <c r="BG409" s="113">
        <f t="shared" ref="BG409" si="182">IFERROR(+BF409/BB409,0)</f>
        <v>4.7848687084652381E-3</v>
      </c>
    </row>
    <row r="410" spans="1:59" s="62" customFormat="1" outlineLevel="1" x14ac:dyDescent="0.25">
      <c r="B410" s="81"/>
      <c r="C410" s="81"/>
      <c r="D410" s="82"/>
      <c r="E410" s="82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117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H410" s="83"/>
      <c r="AI410" s="83"/>
      <c r="AK410" s="61"/>
      <c r="AL410" s="61"/>
      <c r="BB410" s="101"/>
    </row>
    <row r="411" spans="1:59" s="62" customFormat="1" outlineLevel="1" x14ac:dyDescent="0.25">
      <c r="B411" s="88" t="s">
        <v>1291</v>
      </c>
      <c r="C411" s="81"/>
      <c r="D411" s="82"/>
      <c r="E411" s="82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117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H411" s="83"/>
      <c r="AI411" s="83"/>
      <c r="AK411" s="61"/>
      <c r="AL411" s="61"/>
      <c r="BB411" s="101"/>
    </row>
    <row r="412" spans="1:59" s="62" customFormat="1" outlineLevel="1" x14ac:dyDescent="0.25">
      <c r="A412" s="62" t="str">
        <f>+$A$4&amp;$A$323&amp;B412</f>
        <v>MURREYSROLLOFFDISP</v>
      </c>
      <c r="B412" s="81" t="s">
        <v>1292</v>
      </c>
      <c r="C412" s="81" t="s">
        <v>1293</v>
      </c>
      <c r="D412" s="82">
        <v>164.34</v>
      </c>
      <c r="E412" s="82">
        <v>164.34</v>
      </c>
      <c r="F412" s="83">
        <v>447288.05</v>
      </c>
      <c r="G412" s="83">
        <v>398636.43000000005</v>
      </c>
      <c r="H412" s="83">
        <v>401698.83999999997</v>
      </c>
      <c r="I412" s="83">
        <v>330296.32000000001</v>
      </c>
      <c r="J412" s="83">
        <v>344508.53</v>
      </c>
      <c r="K412" s="83">
        <v>401111.70999999996</v>
      </c>
      <c r="L412" s="83">
        <v>408328.01999999996</v>
      </c>
      <c r="M412" s="83">
        <v>368547.73</v>
      </c>
      <c r="N412" s="83">
        <v>426814.33999999997</v>
      </c>
      <c r="O412" s="83">
        <v>406158.08999999997</v>
      </c>
      <c r="P412" s="83">
        <v>382918.96</v>
      </c>
      <c r="Q412" s="83">
        <v>420890.75</v>
      </c>
      <c r="R412" s="116">
        <f t="shared" ref="R412:R416" si="183">+SUM(F412:Q412)</f>
        <v>4737197.7699999996</v>
      </c>
      <c r="S412" s="83">
        <f t="shared" ref="S412:T416" si="184">+IFERROR(F412/$D412,0)</f>
        <v>2721.7235609103077</v>
      </c>
      <c r="T412" s="83">
        <f t="shared" si="184"/>
        <v>2425.6810879883174</v>
      </c>
      <c r="U412" s="83">
        <f t="shared" ref="U412:AD416" si="185">+IFERROR(H412/$E412,0)</f>
        <v>2444.3156869903855</v>
      </c>
      <c r="V412" s="83">
        <f t="shared" si="185"/>
        <v>2009.8352196665451</v>
      </c>
      <c r="W412" s="83">
        <f t="shared" si="185"/>
        <v>2096.3157478398443</v>
      </c>
      <c r="X412" s="83">
        <f t="shared" si="185"/>
        <v>2440.7430327370084</v>
      </c>
      <c r="Y412" s="83">
        <f t="shared" si="185"/>
        <v>2484.6538882803939</v>
      </c>
      <c r="Z412" s="83">
        <f t="shared" si="185"/>
        <v>2242.5929779724961</v>
      </c>
      <c r="AA412" s="83">
        <f t="shared" si="185"/>
        <v>2597.142144334915</v>
      </c>
      <c r="AB412" s="83">
        <f t="shared" si="185"/>
        <v>2471.4499817451624</v>
      </c>
      <c r="AC412" s="83">
        <f t="shared" si="185"/>
        <v>2330.0411342339053</v>
      </c>
      <c r="AD412" s="83">
        <f t="shared" si="185"/>
        <v>2561.097419982962</v>
      </c>
      <c r="AE412" s="83">
        <f t="shared" ref="AE412:AE416" si="186">+SUM(S412:AD412)/$AB$2</f>
        <v>2402.1326568901873</v>
      </c>
      <c r="AF412" s="83"/>
      <c r="AH412" s="83"/>
      <c r="AI412" s="83"/>
      <c r="BB412" s="101"/>
    </row>
    <row r="413" spans="1:59" s="62" customFormat="1" outlineLevel="1" x14ac:dyDescent="0.25">
      <c r="A413" s="62" t="str">
        <f>+$A$4&amp;$A$323&amp;B413</f>
        <v>MURREYSROLLOFFDISP-ASB</v>
      </c>
      <c r="B413" s="81" t="s">
        <v>1294</v>
      </c>
      <c r="C413" s="81" t="s">
        <v>1295</v>
      </c>
      <c r="D413" s="82">
        <v>0</v>
      </c>
      <c r="E413" s="82">
        <v>0</v>
      </c>
      <c r="F413" s="83">
        <v>0</v>
      </c>
      <c r="G413" s="83">
        <v>0</v>
      </c>
      <c r="H413" s="83">
        <v>0</v>
      </c>
      <c r="I413" s="83">
        <v>0</v>
      </c>
      <c r="J413" s="83">
        <v>0</v>
      </c>
      <c r="K413" s="83">
        <v>0</v>
      </c>
      <c r="L413" s="83">
        <v>0</v>
      </c>
      <c r="M413" s="83">
        <v>0</v>
      </c>
      <c r="N413" s="83">
        <v>0</v>
      </c>
      <c r="O413" s="83">
        <v>0</v>
      </c>
      <c r="P413" s="83">
        <v>0</v>
      </c>
      <c r="Q413" s="83">
        <v>0</v>
      </c>
      <c r="R413" s="116">
        <f t="shared" si="183"/>
        <v>0</v>
      </c>
      <c r="S413" s="83">
        <f t="shared" si="184"/>
        <v>0</v>
      </c>
      <c r="T413" s="83">
        <f t="shared" si="184"/>
        <v>0</v>
      </c>
      <c r="U413" s="83">
        <f t="shared" si="185"/>
        <v>0</v>
      </c>
      <c r="V413" s="83">
        <f t="shared" si="185"/>
        <v>0</v>
      </c>
      <c r="W413" s="83">
        <f t="shared" si="185"/>
        <v>0</v>
      </c>
      <c r="X413" s="83">
        <f t="shared" si="185"/>
        <v>0</v>
      </c>
      <c r="Y413" s="83">
        <f t="shared" si="185"/>
        <v>0</v>
      </c>
      <c r="Z413" s="83">
        <f t="shared" si="185"/>
        <v>0</v>
      </c>
      <c r="AA413" s="83">
        <f t="shared" si="185"/>
        <v>0</v>
      </c>
      <c r="AB413" s="83">
        <f t="shared" si="185"/>
        <v>0</v>
      </c>
      <c r="AC413" s="83">
        <f t="shared" si="185"/>
        <v>0</v>
      </c>
      <c r="AD413" s="83">
        <f t="shared" si="185"/>
        <v>0</v>
      </c>
      <c r="AE413" s="83">
        <f t="shared" si="186"/>
        <v>0</v>
      </c>
      <c r="AF413" s="83"/>
      <c r="AH413" s="83"/>
      <c r="AI413" s="83"/>
      <c r="BB413" s="101"/>
    </row>
    <row r="414" spans="1:59" s="62" customFormat="1" outlineLevel="1" x14ac:dyDescent="0.25">
      <c r="A414" s="62" t="str">
        <f>+$A$4&amp;$A$323&amp;B414</f>
        <v>MURREYSROLLOFFDISP-MAN</v>
      </c>
      <c r="B414" s="81" t="s">
        <v>1296</v>
      </c>
      <c r="C414" s="81" t="s">
        <v>1297</v>
      </c>
      <c r="D414" s="82">
        <v>0</v>
      </c>
      <c r="E414" s="82">
        <v>0</v>
      </c>
      <c r="F414" s="83">
        <v>0</v>
      </c>
      <c r="G414" s="83">
        <v>0</v>
      </c>
      <c r="H414" s="83">
        <v>0</v>
      </c>
      <c r="I414" s="83">
        <v>0</v>
      </c>
      <c r="J414" s="83">
        <v>0</v>
      </c>
      <c r="K414" s="83">
        <v>0</v>
      </c>
      <c r="L414" s="83">
        <v>0</v>
      </c>
      <c r="M414" s="83">
        <v>0</v>
      </c>
      <c r="N414" s="83">
        <v>0</v>
      </c>
      <c r="O414" s="83">
        <v>0</v>
      </c>
      <c r="P414" s="83">
        <v>0</v>
      </c>
      <c r="Q414" s="83">
        <v>0</v>
      </c>
      <c r="R414" s="116">
        <f t="shared" si="183"/>
        <v>0</v>
      </c>
      <c r="S414" s="83">
        <f t="shared" si="184"/>
        <v>0</v>
      </c>
      <c r="T414" s="83">
        <f t="shared" si="184"/>
        <v>0</v>
      </c>
      <c r="U414" s="83">
        <f t="shared" si="185"/>
        <v>0</v>
      </c>
      <c r="V414" s="83">
        <f t="shared" si="185"/>
        <v>0</v>
      </c>
      <c r="W414" s="83">
        <f t="shared" si="185"/>
        <v>0</v>
      </c>
      <c r="X414" s="83">
        <f t="shared" si="185"/>
        <v>0</v>
      </c>
      <c r="Y414" s="83">
        <f t="shared" si="185"/>
        <v>0</v>
      </c>
      <c r="Z414" s="83">
        <f t="shared" si="185"/>
        <v>0</v>
      </c>
      <c r="AA414" s="83">
        <f t="shared" si="185"/>
        <v>0</v>
      </c>
      <c r="AB414" s="83">
        <f t="shared" si="185"/>
        <v>0</v>
      </c>
      <c r="AC414" s="83">
        <f t="shared" si="185"/>
        <v>0</v>
      </c>
      <c r="AD414" s="83">
        <f t="shared" si="185"/>
        <v>0</v>
      </c>
      <c r="AE414" s="83">
        <f t="shared" si="186"/>
        <v>0</v>
      </c>
      <c r="AF414" s="83"/>
      <c r="AH414" s="83"/>
      <c r="AI414" s="83"/>
      <c r="BB414" s="101"/>
    </row>
    <row r="415" spans="1:59" s="62" customFormat="1" outlineLevel="1" x14ac:dyDescent="0.25">
      <c r="A415" s="62" t="str">
        <f>+$A$4&amp;$A$323&amp;B415</f>
        <v>MURREYSROLLOFFDISP-RECY</v>
      </c>
      <c r="B415" s="81" t="s">
        <v>1298</v>
      </c>
      <c r="C415" s="81" t="s">
        <v>1299</v>
      </c>
      <c r="D415" s="82">
        <v>0</v>
      </c>
      <c r="E415" s="82">
        <v>0</v>
      </c>
      <c r="F415" s="83">
        <v>0</v>
      </c>
      <c r="G415" s="83">
        <v>531.28</v>
      </c>
      <c r="H415" s="83">
        <v>-531.28</v>
      </c>
      <c r="I415" s="83">
        <v>0</v>
      </c>
      <c r="J415" s="83">
        <v>0</v>
      </c>
      <c r="K415" s="83">
        <v>0</v>
      </c>
      <c r="L415" s="83">
        <v>0</v>
      </c>
      <c r="M415" s="83">
        <v>0</v>
      </c>
      <c r="N415" s="83">
        <v>0</v>
      </c>
      <c r="O415" s="83">
        <v>0</v>
      </c>
      <c r="P415" s="83">
        <v>0</v>
      </c>
      <c r="Q415" s="83">
        <v>0</v>
      </c>
      <c r="R415" s="116">
        <f t="shared" si="183"/>
        <v>0</v>
      </c>
      <c r="S415" s="83">
        <f t="shared" si="184"/>
        <v>0</v>
      </c>
      <c r="T415" s="83">
        <f t="shared" si="184"/>
        <v>0</v>
      </c>
      <c r="U415" s="83">
        <f t="shared" si="185"/>
        <v>0</v>
      </c>
      <c r="V415" s="83">
        <f t="shared" si="185"/>
        <v>0</v>
      </c>
      <c r="W415" s="83">
        <f t="shared" si="185"/>
        <v>0</v>
      </c>
      <c r="X415" s="83">
        <f t="shared" si="185"/>
        <v>0</v>
      </c>
      <c r="Y415" s="83">
        <f t="shared" si="185"/>
        <v>0</v>
      </c>
      <c r="Z415" s="83">
        <f t="shared" si="185"/>
        <v>0</v>
      </c>
      <c r="AA415" s="83">
        <f t="shared" si="185"/>
        <v>0</v>
      </c>
      <c r="AB415" s="83">
        <f t="shared" si="185"/>
        <v>0</v>
      </c>
      <c r="AC415" s="83">
        <f t="shared" si="185"/>
        <v>0</v>
      </c>
      <c r="AD415" s="83">
        <f t="shared" si="185"/>
        <v>0</v>
      </c>
      <c r="AE415" s="83">
        <f t="shared" si="186"/>
        <v>0</v>
      </c>
      <c r="AF415" s="83"/>
      <c r="AH415" s="83"/>
      <c r="AI415" s="83"/>
      <c r="BB415" s="101"/>
    </row>
    <row r="416" spans="1:59" s="62" customFormat="1" outlineLevel="1" x14ac:dyDescent="0.25">
      <c r="A416" s="62" t="str">
        <f>+$A$4&amp;$A$323&amp;B416</f>
        <v>MURREYSROLLOFFDISP-WD</v>
      </c>
      <c r="B416" s="81" t="s">
        <v>1300</v>
      </c>
      <c r="C416" s="81" t="s">
        <v>1301</v>
      </c>
      <c r="D416" s="82">
        <v>0</v>
      </c>
      <c r="E416" s="82">
        <v>0</v>
      </c>
      <c r="F416" s="83">
        <v>0</v>
      </c>
      <c r="G416" s="83">
        <v>0</v>
      </c>
      <c r="H416" s="83">
        <v>0</v>
      </c>
      <c r="I416" s="83">
        <v>0</v>
      </c>
      <c r="J416" s="83">
        <v>0</v>
      </c>
      <c r="K416" s="83">
        <v>0</v>
      </c>
      <c r="L416" s="83">
        <v>0</v>
      </c>
      <c r="M416" s="83">
        <v>0</v>
      </c>
      <c r="N416" s="83">
        <v>0</v>
      </c>
      <c r="O416" s="83">
        <v>0</v>
      </c>
      <c r="P416" s="83">
        <v>0</v>
      </c>
      <c r="Q416" s="83">
        <v>0</v>
      </c>
      <c r="R416" s="116">
        <f t="shared" si="183"/>
        <v>0</v>
      </c>
      <c r="S416" s="83">
        <f t="shared" si="184"/>
        <v>0</v>
      </c>
      <c r="T416" s="83">
        <f t="shared" si="184"/>
        <v>0</v>
      </c>
      <c r="U416" s="83">
        <f t="shared" si="185"/>
        <v>0</v>
      </c>
      <c r="V416" s="83">
        <f t="shared" si="185"/>
        <v>0</v>
      </c>
      <c r="W416" s="83">
        <f t="shared" si="185"/>
        <v>0</v>
      </c>
      <c r="X416" s="83">
        <f t="shared" si="185"/>
        <v>0</v>
      </c>
      <c r="Y416" s="83">
        <f t="shared" si="185"/>
        <v>0</v>
      </c>
      <c r="Z416" s="83">
        <f t="shared" si="185"/>
        <v>0</v>
      </c>
      <c r="AA416" s="83">
        <f t="shared" si="185"/>
        <v>0</v>
      </c>
      <c r="AB416" s="83">
        <f t="shared" si="185"/>
        <v>0</v>
      </c>
      <c r="AC416" s="83">
        <f t="shared" si="185"/>
        <v>0</v>
      </c>
      <c r="AD416" s="83">
        <f t="shared" si="185"/>
        <v>0</v>
      </c>
      <c r="AE416" s="83">
        <f t="shared" si="186"/>
        <v>0</v>
      </c>
      <c r="AF416" s="83"/>
      <c r="AH416" s="83"/>
      <c r="AI416" s="83"/>
      <c r="BB416" s="101"/>
    </row>
    <row r="417" spans="1:63" s="62" customFormat="1" outlineLevel="1" x14ac:dyDescent="0.25">
      <c r="B417" s="81"/>
      <c r="C417" s="81"/>
      <c r="D417" s="82"/>
      <c r="E417" s="82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117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H417" s="83"/>
      <c r="AI417" s="83"/>
      <c r="BB417" s="101"/>
    </row>
    <row r="418" spans="1:63" s="62" customFormat="1" outlineLevel="1" x14ac:dyDescent="0.25">
      <c r="B418" s="81"/>
      <c r="C418" s="85" t="s">
        <v>1302</v>
      </c>
      <c r="D418" s="82"/>
      <c r="E418" s="82"/>
      <c r="F418" s="86">
        <f t="shared" ref="F418:R418" si="187">SUM(F412:F417)</f>
        <v>447288.05</v>
      </c>
      <c r="G418" s="86">
        <f t="shared" si="187"/>
        <v>399167.71000000008</v>
      </c>
      <c r="H418" s="86">
        <f t="shared" si="187"/>
        <v>401167.55999999994</v>
      </c>
      <c r="I418" s="86">
        <f t="shared" si="187"/>
        <v>330296.32000000001</v>
      </c>
      <c r="J418" s="86">
        <f t="shared" si="187"/>
        <v>344508.53</v>
      </c>
      <c r="K418" s="86">
        <f t="shared" si="187"/>
        <v>401111.70999999996</v>
      </c>
      <c r="L418" s="86">
        <f t="shared" si="187"/>
        <v>408328.01999999996</v>
      </c>
      <c r="M418" s="86">
        <f t="shared" si="187"/>
        <v>368547.73</v>
      </c>
      <c r="N418" s="86">
        <f t="shared" si="187"/>
        <v>426814.33999999997</v>
      </c>
      <c r="O418" s="86">
        <f t="shared" si="187"/>
        <v>406158.08999999997</v>
      </c>
      <c r="P418" s="86">
        <f t="shared" si="187"/>
        <v>382918.96</v>
      </c>
      <c r="Q418" s="86">
        <f t="shared" si="187"/>
        <v>420890.75</v>
      </c>
      <c r="R418" s="86">
        <f t="shared" si="187"/>
        <v>4737197.7699999996</v>
      </c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7"/>
      <c r="AH418" s="83"/>
      <c r="AI418" s="83"/>
      <c r="BB418" s="101"/>
    </row>
    <row r="419" spans="1:63" s="62" customFormat="1" outlineLevel="1" x14ac:dyDescent="0.25">
      <c r="B419" s="81"/>
      <c r="D419" s="82"/>
      <c r="E419" s="82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117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H419" s="83"/>
      <c r="AI419" s="83"/>
      <c r="BB419" s="101"/>
    </row>
    <row r="420" spans="1:63" s="62" customFormat="1" outlineLevel="1" x14ac:dyDescent="0.25">
      <c r="D420" s="82"/>
      <c r="E420" s="82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117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H420" s="83"/>
      <c r="AI420" s="83"/>
      <c r="AK420" s="61"/>
      <c r="AL420" s="61"/>
      <c r="BB420" s="101"/>
    </row>
    <row r="421" spans="1:63" s="61" customFormat="1" ht="15.75" thickBot="1" x14ac:dyDescent="0.3">
      <c r="B421" s="61" t="s">
        <v>1303</v>
      </c>
      <c r="D421" s="82"/>
      <c r="E421" s="82"/>
      <c r="F421" s="89">
        <f>+F409+F418</f>
        <v>673224.89000000013</v>
      </c>
      <c r="G421" s="89">
        <f t="shared" ref="G421:AE421" si="188">+G409+G418</f>
        <v>600276.74</v>
      </c>
      <c r="H421" s="89">
        <f t="shared" si="188"/>
        <v>619106.64999999991</v>
      </c>
      <c r="I421" s="89">
        <f t="shared" si="188"/>
        <v>521735.9</v>
      </c>
      <c r="J421" s="89">
        <f t="shared" si="188"/>
        <v>534133.59</v>
      </c>
      <c r="K421" s="89">
        <f t="shared" si="188"/>
        <v>608608.19999999995</v>
      </c>
      <c r="L421" s="89">
        <f t="shared" si="188"/>
        <v>619021.72</v>
      </c>
      <c r="M421" s="89">
        <f t="shared" si="188"/>
        <v>571649.86</v>
      </c>
      <c r="N421" s="89">
        <f t="shared" si="188"/>
        <v>638248.48</v>
      </c>
      <c r="O421" s="89">
        <f t="shared" si="188"/>
        <v>614038.14</v>
      </c>
      <c r="P421" s="89">
        <f t="shared" si="188"/>
        <v>582602.9</v>
      </c>
      <c r="Q421" s="89">
        <f t="shared" si="188"/>
        <v>632984.43000000005</v>
      </c>
      <c r="R421" s="89">
        <f t="shared" si="188"/>
        <v>7215631.5</v>
      </c>
      <c r="S421" s="89">
        <f t="shared" si="188"/>
        <v>266.18810050321554</v>
      </c>
      <c r="T421" s="89">
        <f t="shared" si="188"/>
        <v>267.90340457202132</v>
      </c>
      <c r="U421" s="89">
        <f t="shared" si="188"/>
        <v>269.59346998703739</v>
      </c>
      <c r="V421" s="89">
        <f t="shared" si="188"/>
        <v>273.22063238386596</v>
      </c>
      <c r="W421" s="89">
        <f t="shared" si="188"/>
        <v>285.7284545315959</v>
      </c>
      <c r="X421" s="89">
        <f t="shared" si="188"/>
        <v>281.72086807419811</v>
      </c>
      <c r="Y421" s="89">
        <f t="shared" si="188"/>
        <v>281.84774752885005</v>
      </c>
      <c r="Z421" s="89">
        <f t="shared" si="188"/>
        <v>288.39059503303179</v>
      </c>
      <c r="AA421" s="89">
        <f t="shared" si="188"/>
        <v>283.65418015012403</v>
      </c>
      <c r="AB421" s="89">
        <f t="shared" si="188"/>
        <v>278.29898711875109</v>
      </c>
      <c r="AC421" s="89">
        <f t="shared" si="188"/>
        <v>275.62058647239627</v>
      </c>
      <c r="AD421" s="89">
        <f t="shared" si="188"/>
        <v>275.32278358381529</v>
      </c>
      <c r="AE421" s="89">
        <f t="shared" si="188"/>
        <v>277.29081749490854</v>
      </c>
      <c r="AF421" s="89"/>
      <c r="AH421" s="89"/>
      <c r="AI421" s="89"/>
      <c r="BA421" s="62"/>
      <c r="BB421" s="120">
        <f>+BB409</f>
        <v>2467538.54</v>
      </c>
      <c r="BE421" s="120">
        <f t="shared" ref="BE421:BF421" si="189">+BE409</f>
        <v>2479345.3879469782</v>
      </c>
      <c r="BF421" s="120">
        <f t="shared" si="189"/>
        <v>11806.847946978</v>
      </c>
      <c r="BG421" s="113">
        <f t="shared" ref="BG421" si="190">IFERROR(+BF421/BB421,0)</f>
        <v>4.7848687084652381E-3</v>
      </c>
    </row>
    <row r="422" spans="1:63" s="61" customFormat="1" ht="15.75" outlineLevel="1" thickTop="1" x14ac:dyDescent="0.25">
      <c r="D422" s="82"/>
      <c r="E422" s="82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117"/>
      <c r="S422" s="89"/>
      <c r="T422" s="89"/>
      <c r="U422" s="89"/>
      <c r="V422" s="89"/>
      <c r="W422" s="89"/>
      <c r="X422" s="89"/>
      <c r="Y422" s="89"/>
      <c r="Z422" s="89"/>
      <c r="AA422" s="89"/>
      <c r="AB422" s="89"/>
      <c r="AC422" s="89"/>
      <c r="AD422" s="89"/>
      <c r="AE422" s="89"/>
      <c r="AF422" s="89"/>
      <c r="AH422" s="89"/>
      <c r="AI422" s="89"/>
    </row>
    <row r="423" spans="1:63" s="61" customFormat="1" outlineLevel="1" x14ac:dyDescent="0.25">
      <c r="D423" s="82"/>
      <c r="E423" s="82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117"/>
      <c r="S423" s="89"/>
      <c r="T423" s="89"/>
      <c r="U423" s="89"/>
      <c r="V423" s="89"/>
      <c r="W423" s="89"/>
      <c r="X423" s="89"/>
      <c r="Y423" s="89"/>
      <c r="Z423" s="89"/>
      <c r="AA423" s="89"/>
      <c r="AB423" s="89"/>
      <c r="AC423" s="89"/>
      <c r="AD423" s="89"/>
      <c r="AE423" s="89"/>
      <c r="AF423" s="89"/>
      <c r="AH423" s="89"/>
      <c r="AI423" s="89"/>
      <c r="AK423" s="62"/>
      <c r="AL423" s="62"/>
    </row>
    <row r="424" spans="1:63" s="62" customFormat="1" outlineLevel="1" x14ac:dyDescent="0.25">
      <c r="A424" s="62" t="s">
        <v>1304</v>
      </c>
      <c r="B424" s="76" t="s">
        <v>1304</v>
      </c>
      <c r="D424" s="82"/>
      <c r="E424" s="82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117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H424" s="83"/>
      <c r="AI424" s="83"/>
    </row>
    <row r="425" spans="1:63" s="62" customFormat="1" outlineLevel="1" x14ac:dyDescent="0.25">
      <c r="A425" s="62" t="str">
        <f>+$A$424&amp;B425</f>
        <v>MEDICAL WASTEMD10</v>
      </c>
      <c r="B425" s="81" t="s">
        <v>1305</v>
      </c>
      <c r="C425" s="81" t="s">
        <v>1306</v>
      </c>
      <c r="D425" s="82">
        <v>6.2</v>
      </c>
      <c r="E425" s="82">
        <v>6.2</v>
      </c>
      <c r="F425" s="83">
        <v>464.1</v>
      </c>
      <c r="G425" s="83">
        <v>406.4</v>
      </c>
      <c r="H425" s="83">
        <v>397.79999999999995</v>
      </c>
      <c r="I425" s="83">
        <v>176.8</v>
      </c>
      <c r="J425" s="83">
        <v>219.41</v>
      </c>
      <c r="K425" s="83">
        <v>442</v>
      </c>
      <c r="L425" s="83">
        <v>436.4</v>
      </c>
      <c r="M425" s="83">
        <v>419.9</v>
      </c>
      <c r="N425" s="83">
        <v>331.5</v>
      </c>
      <c r="O425" s="83">
        <v>354</v>
      </c>
      <c r="P425" s="83">
        <v>472</v>
      </c>
      <c r="Q425" s="83">
        <v>259.60000000000002</v>
      </c>
      <c r="R425" s="116">
        <f t="shared" ref="R425:R430" si="191">+SUM(F425:Q425)</f>
        <v>4379.9100000000008</v>
      </c>
      <c r="S425" s="83">
        <f>+IFERROR(F425/$D425,0)</f>
        <v>74.854838709677423</v>
      </c>
      <c r="T425" s="83">
        <f t="shared" ref="T425:T430" si="192">+IFERROR(G425/$D425,0)</f>
        <v>65.548387096774192</v>
      </c>
      <c r="U425" s="83">
        <f t="shared" ref="U425:AD430" si="193">+IFERROR(H425/$E425,0)</f>
        <v>64.161290322580641</v>
      </c>
      <c r="V425" s="83">
        <f t="shared" si="193"/>
        <v>28.516129032258064</v>
      </c>
      <c r="W425" s="83">
        <f t="shared" si="193"/>
        <v>35.388709677419357</v>
      </c>
      <c r="X425" s="83">
        <f t="shared" si="193"/>
        <v>71.290322580645153</v>
      </c>
      <c r="Y425" s="83">
        <f t="shared" si="193"/>
        <v>70.387096774193537</v>
      </c>
      <c r="Z425" s="83">
        <f t="shared" si="193"/>
        <v>67.725806451612897</v>
      </c>
      <c r="AA425" s="83">
        <f t="shared" si="193"/>
        <v>53.467741935483872</v>
      </c>
      <c r="AB425" s="83">
        <f t="shared" si="193"/>
        <v>57.096774193548384</v>
      </c>
      <c r="AC425" s="83">
        <f t="shared" si="193"/>
        <v>76.129032258064512</v>
      </c>
      <c r="AD425" s="83">
        <f t="shared" si="193"/>
        <v>41.870967741935488</v>
      </c>
      <c r="AE425" s="83">
        <f t="shared" ref="AE425:AE430" si="194">+SUM(S425:AD425)/$AB$2</f>
        <v>58.869758064516134</v>
      </c>
      <c r="AF425" s="83"/>
      <c r="AH425" s="83"/>
      <c r="AI425" s="83"/>
      <c r="BB425" s="101">
        <f t="shared" ref="BB425:BB430" si="195">+AE425*E425*12</f>
        <v>4379.9100000000008</v>
      </c>
      <c r="BD425" s="112">
        <f>ROUND(E425,2)</f>
        <v>6.2</v>
      </c>
      <c r="BE425" s="136">
        <f t="shared" ref="BE425:BE430" si="196">BD425*AE425*12</f>
        <v>4379.9100000000008</v>
      </c>
      <c r="BF425" s="137">
        <f t="shared" ref="BF425:BF430" si="197">+BE425-BB425</f>
        <v>0</v>
      </c>
      <c r="BG425" s="113">
        <f t="shared" ref="BG425:BG430" si="198">IFERROR(+BF425/BB425,0)</f>
        <v>0</v>
      </c>
    </row>
    <row r="426" spans="1:63" s="62" customFormat="1" outlineLevel="1" x14ac:dyDescent="0.25">
      <c r="A426" s="62" t="str">
        <f>+$A$424&amp;B426</f>
        <v>MEDICAL WASTEMD20</v>
      </c>
      <c r="B426" s="81" t="s">
        <v>1307</v>
      </c>
      <c r="C426" s="81" t="s">
        <v>1308</v>
      </c>
      <c r="D426" s="82">
        <v>7.35</v>
      </c>
      <c r="E426" s="82">
        <v>7.35</v>
      </c>
      <c r="F426" s="83">
        <v>4931.4000000000005</v>
      </c>
      <c r="G426" s="83">
        <v>5224.3999999999996</v>
      </c>
      <c r="H426" s="83">
        <v>5377</v>
      </c>
      <c r="I426" s="83">
        <v>3618.6</v>
      </c>
      <c r="J426" s="83">
        <v>3672.7999999999997</v>
      </c>
      <c r="K426" s="83">
        <v>4911.8</v>
      </c>
      <c r="L426" s="83">
        <v>3353.6000000000004</v>
      </c>
      <c r="M426" s="83">
        <v>4838.8</v>
      </c>
      <c r="N426" s="83">
        <v>4388.2</v>
      </c>
      <c r="O426" s="83">
        <v>5612.6</v>
      </c>
      <c r="P426" s="83">
        <v>4762.8</v>
      </c>
      <c r="Q426" s="83">
        <v>5789</v>
      </c>
      <c r="R426" s="116">
        <f t="shared" si="191"/>
        <v>56481</v>
      </c>
      <c r="S426" s="83">
        <f t="shared" ref="S426:S430" si="199">+IFERROR(F426/$D426,0)</f>
        <v>670.93877551020421</v>
      </c>
      <c r="T426" s="83">
        <f t="shared" si="192"/>
        <v>710.80272108843531</v>
      </c>
      <c r="U426" s="83">
        <f t="shared" si="193"/>
        <v>731.56462585034012</v>
      </c>
      <c r="V426" s="83">
        <f t="shared" si="193"/>
        <v>492.32653061224494</v>
      </c>
      <c r="W426" s="83">
        <f t="shared" si="193"/>
        <v>499.70068027210885</v>
      </c>
      <c r="X426" s="83">
        <f t="shared" si="193"/>
        <v>668.27210884353747</v>
      </c>
      <c r="Y426" s="83">
        <f t="shared" si="193"/>
        <v>456.27210884353747</v>
      </c>
      <c r="Z426" s="83">
        <f t="shared" si="193"/>
        <v>658.34013605442181</v>
      </c>
      <c r="AA426" s="83">
        <f t="shared" si="193"/>
        <v>597.03401360544217</v>
      </c>
      <c r="AB426" s="83">
        <f t="shared" si="193"/>
        <v>763.61904761904771</v>
      </c>
      <c r="AC426" s="83">
        <f t="shared" si="193"/>
        <v>648</v>
      </c>
      <c r="AD426" s="83">
        <f t="shared" si="193"/>
        <v>787.61904761904771</v>
      </c>
      <c r="AE426" s="83">
        <f t="shared" si="194"/>
        <v>640.37414965986397</v>
      </c>
      <c r="AF426" s="83"/>
      <c r="AH426" s="83"/>
      <c r="AI426" s="83"/>
      <c r="BB426" s="101">
        <f t="shared" si="195"/>
        <v>56481</v>
      </c>
      <c r="BD426" s="112">
        <f t="shared" ref="BD426:BD430" si="200">ROUND(E426,2)</f>
        <v>7.35</v>
      </c>
      <c r="BE426" s="136">
        <f t="shared" si="196"/>
        <v>56481</v>
      </c>
      <c r="BF426" s="137">
        <f t="shared" si="197"/>
        <v>0</v>
      </c>
      <c r="BG426" s="113">
        <f t="shared" si="198"/>
        <v>0</v>
      </c>
    </row>
    <row r="427" spans="1:63" s="62" customFormat="1" outlineLevel="1" x14ac:dyDescent="0.25">
      <c r="A427" s="62" t="str">
        <f>+$A$424&amp;B427</f>
        <v>MEDICAL WASTEMD35</v>
      </c>
      <c r="B427" s="81" t="s">
        <v>1309</v>
      </c>
      <c r="C427" s="81" t="s">
        <v>1310</v>
      </c>
      <c r="D427" s="82">
        <v>8.4499999999999993</v>
      </c>
      <c r="E427" s="82">
        <v>8.4499999999999993</v>
      </c>
      <c r="F427" s="83">
        <v>5043.5</v>
      </c>
      <c r="G427" s="83">
        <v>5185.95</v>
      </c>
      <c r="H427" s="83">
        <v>5175.8</v>
      </c>
      <c r="I427" s="83">
        <v>4659.2</v>
      </c>
      <c r="J427" s="83">
        <v>6249.6</v>
      </c>
      <c r="K427" s="83">
        <v>7287</v>
      </c>
      <c r="L427" s="83">
        <v>6514.2</v>
      </c>
      <c r="M427" s="83">
        <v>7823.2000000000007</v>
      </c>
      <c r="N427" s="83">
        <v>6081.6</v>
      </c>
      <c r="O427" s="83">
        <v>8775.5499999999993</v>
      </c>
      <c r="P427" s="83">
        <v>6423.2</v>
      </c>
      <c r="Q427" s="83">
        <v>10645.949999999999</v>
      </c>
      <c r="R427" s="116">
        <f t="shared" si="191"/>
        <v>79864.749999999985</v>
      </c>
      <c r="S427" s="83">
        <f t="shared" si="199"/>
        <v>596.86390532544385</v>
      </c>
      <c r="T427" s="83">
        <f t="shared" si="192"/>
        <v>613.72189349112432</v>
      </c>
      <c r="U427" s="83">
        <f t="shared" si="193"/>
        <v>612.52071005917162</v>
      </c>
      <c r="V427" s="83">
        <f t="shared" si="193"/>
        <v>551.38461538461536</v>
      </c>
      <c r="W427" s="83">
        <f t="shared" si="193"/>
        <v>739.59763313609483</v>
      </c>
      <c r="X427" s="83">
        <f t="shared" si="193"/>
        <v>862.36686390532554</v>
      </c>
      <c r="Y427" s="83">
        <f t="shared" si="193"/>
        <v>770.91124260355036</v>
      </c>
      <c r="Z427" s="83">
        <f t="shared" si="193"/>
        <v>925.82248520710073</v>
      </c>
      <c r="AA427" s="83">
        <f t="shared" si="193"/>
        <v>719.71597633136105</v>
      </c>
      <c r="AB427" s="83">
        <f t="shared" si="193"/>
        <v>1038.5266272189349</v>
      </c>
      <c r="AC427" s="83">
        <f t="shared" si="193"/>
        <v>760.14201183431953</v>
      </c>
      <c r="AD427" s="83">
        <f t="shared" si="193"/>
        <v>1259.8757396449703</v>
      </c>
      <c r="AE427" s="83">
        <f t="shared" si="194"/>
        <v>787.62080867850091</v>
      </c>
      <c r="AF427" s="83"/>
      <c r="AH427" s="83"/>
      <c r="AI427" s="83"/>
      <c r="BB427" s="101">
        <f t="shared" si="195"/>
        <v>79864.749999999985</v>
      </c>
      <c r="BD427" s="112">
        <f t="shared" si="200"/>
        <v>8.4499999999999993</v>
      </c>
      <c r="BE427" s="136">
        <f t="shared" si="196"/>
        <v>79864.749999999985</v>
      </c>
      <c r="BF427" s="137">
        <f t="shared" si="197"/>
        <v>0</v>
      </c>
      <c r="BG427" s="113">
        <f t="shared" si="198"/>
        <v>0</v>
      </c>
    </row>
    <row r="428" spans="1:63" s="62" customFormat="1" outlineLevel="1" x14ac:dyDescent="0.25">
      <c r="A428" s="62" t="str">
        <f t="shared" ref="A428:A430" si="201">+$A$424&amp;B428</f>
        <v>MEDICAL WASTEMDDEL</v>
      </c>
      <c r="B428" s="81" t="s">
        <v>1311</v>
      </c>
      <c r="C428" s="81" t="s">
        <v>1312</v>
      </c>
      <c r="D428" s="82">
        <v>8.4499999999999993</v>
      </c>
      <c r="E428" s="82">
        <v>8.4499999999999993</v>
      </c>
      <c r="F428" s="83">
        <v>0</v>
      </c>
      <c r="G428" s="83">
        <v>0</v>
      </c>
      <c r="H428" s="83">
        <v>15</v>
      </c>
      <c r="I428" s="83">
        <v>0</v>
      </c>
      <c r="J428" s="83">
        <v>0</v>
      </c>
      <c r="K428" s="83">
        <v>0</v>
      </c>
      <c r="L428" s="83">
        <v>15</v>
      </c>
      <c r="M428" s="83">
        <v>0</v>
      </c>
      <c r="N428" s="83">
        <v>0</v>
      </c>
      <c r="O428" s="83">
        <v>0</v>
      </c>
      <c r="P428" s="83">
        <v>0</v>
      </c>
      <c r="Q428" s="83">
        <v>0</v>
      </c>
      <c r="R428" s="116">
        <f t="shared" si="191"/>
        <v>30</v>
      </c>
      <c r="S428" s="83">
        <f t="shared" si="199"/>
        <v>0</v>
      </c>
      <c r="T428" s="83">
        <f t="shared" si="192"/>
        <v>0</v>
      </c>
      <c r="U428" s="83">
        <f t="shared" si="193"/>
        <v>1.775147928994083</v>
      </c>
      <c r="V428" s="83">
        <f t="shared" si="193"/>
        <v>0</v>
      </c>
      <c r="W428" s="83">
        <f t="shared" si="193"/>
        <v>0</v>
      </c>
      <c r="X428" s="83">
        <f t="shared" si="193"/>
        <v>0</v>
      </c>
      <c r="Y428" s="83">
        <f t="shared" si="193"/>
        <v>1.775147928994083</v>
      </c>
      <c r="Z428" s="83">
        <f t="shared" si="193"/>
        <v>0</v>
      </c>
      <c r="AA428" s="83">
        <f t="shared" si="193"/>
        <v>0</v>
      </c>
      <c r="AB428" s="83">
        <f t="shared" si="193"/>
        <v>0</v>
      </c>
      <c r="AC428" s="83">
        <f t="shared" si="193"/>
        <v>0</v>
      </c>
      <c r="AD428" s="83">
        <f t="shared" si="193"/>
        <v>0</v>
      </c>
      <c r="AE428" s="83">
        <f t="shared" si="194"/>
        <v>0.29585798816568049</v>
      </c>
      <c r="AF428" s="83"/>
      <c r="AH428" s="83"/>
      <c r="AI428" s="83"/>
      <c r="BB428" s="101">
        <f t="shared" si="195"/>
        <v>30</v>
      </c>
      <c r="BD428" s="112">
        <f t="shared" si="200"/>
        <v>8.4499999999999993</v>
      </c>
      <c r="BE428" s="136">
        <f t="shared" si="196"/>
        <v>30</v>
      </c>
      <c r="BF428" s="137">
        <f t="shared" si="197"/>
        <v>0</v>
      </c>
      <c r="BG428" s="113">
        <f t="shared" si="198"/>
        <v>0</v>
      </c>
      <c r="BK428" s="62">
        <f>311/2</f>
        <v>155.5</v>
      </c>
    </row>
    <row r="429" spans="1:63" s="62" customFormat="1" outlineLevel="1" x14ac:dyDescent="0.25">
      <c r="A429" s="62" t="str">
        <f t="shared" si="201"/>
        <v>MEDICAL WASTEMDMINMO</v>
      </c>
      <c r="B429" s="81" t="s">
        <v>1313</v>
      </c>
      <c r="C429" s="81" t="s">
        <v>1314</v>
      </c>
      <c r="D429" s="82">
        <v>8.4499999999999993</v>
      </c>
      <c r="E429" s="82">
        <v>8.4499999999999993</v>
      </c>
      <c r="F429" s="83">
        <v>2309.46</v>
      </c>
      <c r="G429" s="83">
        <v>2190</v>
      </c>
      <c r="H429" s="83">
        <v>2367.46</v>
      </c>
      <c r="I429" s="83">
        <v>2355</v>
      </c>
      <c r="J429" s="83">
        <v>2565</v>
      </c>
      <c r="K429" s="83">
        <v>2430</v>
      </c>
      <c r="L429" s="83">
        <v>2580</v>
      </c>
      <c r="M429" s="83">
        <v>2550</v>
      </c>
      <c r="N429" s="83">
        <v>2550</v>
      </c>
      <c r="O429" s="83">
        <v>2520</v>
      </c>
      <c r="P429" s="83">
        <v>2535</v>
      </c>
      <c r="Q429" s="83">
        <v>2535</v>
      </c>
      <c r="R429" s="116">
        <f t="shared" si="191"/>
        <v>29486.92</v>
      </c>
      <c r="S429" s="83">
        <f t="shared" si="199"/>
        <v>273.30887573964498</v>
      </c>
      <c r="T429" s="83">
        <f t="shared" si="192"/>
        <v>259.17159763313612</v>
      </c>
      <c r="U429" s="83">
        <f t="shared" si="193"/>
        <v>280.17278106508877</v>
      </c>
      <c r="V429" s="83">
        <f t="shared" si="193"/>
        <v>278.69822485207101</v>
      </c>
      <c r="W429" s="83">
        <f t="shared" si="193"/>
        <v>303.5502958579882</v>
      </c>
      <c r="X429" s="83">
        <f t="shared" si="193"/>
        <v>287.57396449704146</v>
      </c>
      <c r="Y429" s="83">
        <f t="shared" si="193"/>
        <v>305.32544378698225</v>
      </c>
      <c r="Z429" s="83">
        <f t="shared" si="193"/>
        <v>301.7751479289941</v>
      </c>
      <c r="AA429" s="83">
        <f t="shared" si="193"/>
        <v>301.7751479289941</v>
      </c>
      <c r="AB429" s="83">
        <f t="shared" si="193"/>
        <v>298.22485207100596</v>
      </c>
      <c r="AC429" s="83">
        <f t="shared" si="193"/>
        <v>300</v>
      </c>
      <c r="AD429" s="83">
        <f t="shared" si="193"/>
        <v>300</v>
      </c>
      <c r="AE429" s="83">
        <f t="shared" si="194"/>
        <v>290.79802761341222</v>
      </c>
      <c r="AF429" s="83"/>
      <c r="AH429" s="83"/>
      <c r="AI429" s="83"/>
      <c r="BB429" s="101">
        <f t="shared" si="195"/>
        <v>29486.919999999995</v>
      </c>
      <c r="BD429" s="112">
        <f t="shared" si="200"/>
        <v>8.4499999999999993</v>
      </c>
      <c r="BE429" s="136">
        <f t="shared" si="196"/>
        <v>29486.919999999995</v>
      </c>
      <c r="BF429" s="137">
        <f t="shared" si="197"/>
        <v>0</v>
      </c>
      <c r="BG429" s="113">
        <f t="shared" si="198"/>
        <v>0</v>
      </c>
    </row>
    <row r="430" spans="1:63" s="62" customFormat="1" outlineLevel="1" x14ac:dyDescent="0.25">
      <c r="A430" s="62" t="str">
        <f t="shared" si="201"/>
        <v>MEDICAL WASTEMDTRIP</v>
      </c>
      <c r="B430" s="81" t="s">
        <v>1315</v>
      </c>
      <c r="C430" s="81" t="s">
        <v>1316</v>
      </c>
      <c r="D430" s="82">
        <v>8.4499999999999993</v>
      </c>
      <c r="E430" s="82">
        <v>8.4499999999999993</v>
      </c>
      <c r="F430" s="83">
        <v>-15</v>
      </c>
      <c r="G430" s="83">
        <v>30</v>
      </c>
      <c r="H430" s="83">
        <v>90</v>
      </c>
      <c r="I430" s="83">
        <v>135</v>
      </c>
      <c r="J430" s="83">
        <v>75</v>
      </c>
      <c r="K430" s="83">
        <v>30</v>
      </c>
      <c r="L430" s="83">
        <v>120</v>
      </c>
      <c r="M430" s="83">
        <v>90</v>
      </c>
      <c r="N430" s="83">
        <v>15</v>
      </c>
      <c r="O430" s="83">
        <v>0</v>
      </c>
      <c r="P430" s="83">
        <v>30</v>
      </c>
      <c r="Q430" s="83">
        <v>75</v>
      </c>
      <c r="R430" s="116">
        <f t="shared" si="191"/>
        <v>675</v>
      </c>
      <c r="S430" s="83">
        <f t="shared" si="199"/>
        <v>-1.775147928994083</v>
      </c>
      <c r="T430" s="83">
        <f t="shared" si="192"/>
        <v>3.550295857988166</v>
      </c>
      <c r="U430" s="83">
        <f t="shared" si="193"/>
        <v>10.650887573964498</v>
      </c>
      <c r="V430" s="83">
        <f t="shared" si="193"/>
        <v>15.976331360946746</v>
      </c>
      <c r="W430" s="83">
        <f t="shared" si="193"/>
        <v>8.8757396449704142</v>
      </c>
      <c r="X430" s="83">
        <f t="shared" si="193"/>
        <v>3.550295857988166</v>
      </c>
      <c r="Y430" s="83">
        <f t="shared" si="193"/>
        <v>14.201183431952664</v>
      </c>
      <c r="Z430" s="83">
        <f t="shared" si="193"/>
        <v>10.650887573964498</v>
      </c>
      <c r="AA430" s="83">
        <f t="shared" si="193"/>
        <v>1.775147928994083</v>
      </c>
      <c r="AB430" s="83">
        <f t="shared" si="193"/>
        <v>0</v>
      </c>
      <c r="AC430" s="83">
        <f t="shared" si="193"/>
        <v>3.550295857988166</v>
      </c>
      <c r="AD430" s="83">
        <f t="shared" si="193"/>
        <v>8.8757396449704142</v>
      </c>
      <c r="AE430" s="83">
        <f t="shared" si="194"/>
        <v>6.6568047337278111</v>
      </c>
      <c r="AF430" s="83"/>
      <c r="AH430" s="83"/>
      <c r="AI430" s="83"/>
      <c r="BB430" s="101">
        <f t="shared" si="195"/>
        <v>675</v>
      </c>
      <c r="BD430" s="112">
        <f t="shared" si="200"/>
        <v>8.4499999999999993</v>
      </c>
      <c r="BE430" s="136">
        <f t="shared" si="196"/>
        <v>675</v>
      </c>
      <c r="BF430" s="137">
        <f t="shared" si="197"/>
        <v>0</v>
      </c>
      <c r="BG430" s="113">
        <f t="shared" si="198"/>
        <v>0</v>
      </c>
    </row>
    <row r="431" spans="1:63" s="62" customFormat="1" outlineLevel="1" x14ac:dyDescent="0.25">
      <c r="B431" s="81"/>
      <c r="C431" s="81"/>
      <c r="D431" s="82"/>
      <c r="E431" s="82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117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H431" s="83"/>
      <c r="AI431" s="83"/>
    </row>
    <row r="432" spans="1:63" s="62" customFormat="1" outlineLevel="1" x14ac:dyDescent="0.25">
      <c r="B432" s="81"/>
      <c r="C432" s="85" t="s">
        <v>1317</v>
      </c>
      <c r="D432" s="82"/>
      <c r="E432" s="82"/>
      <c r="F432" s="86">
        <f t="shared" ref="F432:R432" si="202">+SUM(F425:F431)</f>
        <v>12733.46</v>
      </c>
      <c r="G432" s="86">
        <f t="shared" si="202"/>
        <v>13036.75</v>
      </c>
      <c r="H432" s="86">
        <f t="shared" si="202"/>
        <v>13423.060000000001</v>
      </c>
      <c r="I432" s="86">
        <f t="shared" si="202"/>
        <v>10944.6</v>
      </c>
      <c r="J432" s="86">
        <f t="shared" si="202"/>
        <v>12781.81</v>
      </c>
      <c r="K432" s="86">
        <f t="shared" si="202"/>
        <v>15100.8</v>
      </c>
      <c r="L432" s="86">
        <f t="shared" si="202"/>
        <v>13019.2</v>
      </c>
      <c r="M432" s="86">
        <f t="shared" si="202"/>
        <v>15721.900000000001</v>
      </c>
      <c r="N432" s="86">
        <f t="shared" si="202"/>
        <v>13366.3</v>
      </c>
      <c r="O432" s="86">
        <f t="shared" si="202"/>
        <v>17262.150000000001</v>
      </c>
      <c r="P432" s="86">
        <f t="shared" si="202"/>
        <v>14223</v>
      </c>
      <c r="Q432" s="86">
        <f t="shared" si="202"/>
        <v>19304.55</v>
      </c>
      <c r="R432" s="86">
        <f t="shared" si="202"/>
        <v>170917.57999999996</v>
      </c>
      <c r="S432" s="86">
        <f t="shared" ref="S432:AD432" si="203">+SUM(S425:S431)</f>
        <v>1614.1912473559764</v>
      </c>
      <c r="T432" s="86">
        <f t="shared" si="203"/>
        <v>1652.794895167458</v>
      </c>
      <c r="U432" s="86">
        <f t="shared" si="203"/>
        <v>1700.8454428001396</v>
      </c>
      <c r="V432" s="86">
        <f t="shared" si="203"/>
        <v>1366.901831242136</v>
      </c>
      <c r="W432" s="86">
        <f t="shared" si="203"/>
        <v>1587.1130585885817</v>
      </c>
      <c r="X432" s="86">
        <f t="shared" si="203"/>
        <v>1893.0535556845377</v>
      </c>
      <c r="Y432" s="86">
        <f t="shared" si="203"/>
        <v>1618.8722233692104</v>
      </c>
      <c r="Z432" s="86">
        <f t="shared" si="203"/>
        <v>1964.3144632160943</v>
      </c>
      <c r="AA432" s="86">
        <f t="shared" si="203"/>
        <v>1673.7680277302752</v>
      </c>
      <c r="AB432" s="86">
        <f t="shared" si="203"/>
        <v>2157.467301102537</v>
      </c>
      <c r="AC432" s="86">
        <f t="shared" si="203"/>
        <v>1787.8213399503722</v>
      </c>
      <c r="AD432" s="86">
        <f t="shared" si="203"/>
        <v>2398.2414946509239</v>
      </c>
      <c r="AE432" s="86">
        <f>+SUM(AE425:AE427)</f>
        <v>1486.864716402881</v>
      </c>
      <c r="AF432" s="87"/>
      <c r="AH432" s="83"/>
      <c r="AI432" s="83"/>
      <c r="BB432" s="118">
        <f>SUM(BB425:BB431)</f>
        <v>170917.57999999996</v>
      </c>
      <c r="BE432" s="118">
        <f>SUM(BE425:BE431)</f>
        <v>170917.57999999996</v>
      </c>
      <c r="BF432" s="118">
        <f>SUM(BF425:BF431)</f>
        <v>0</v>
      </c>
      <c r="BG432" s="113">
        <f t="shared" ref="BG432" si="204">IFERROR(+BF432/BB432,0)</f>
        <v>0</v>
      </c>
    </row>
    <row r="433" spans="1:59" s="62" customFormat="1" outlineLevel="1" x14ac:dyDescent="0.25">
      <c r="B433" s="81"/>
      <c r="C433" s="85"/>
      <c r="D433" s="82"/>
      <c r="E433" s="82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11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87"/>
      <c r="AE433" s="87"/>
      <c r="AF433" s="87"/>
      <c r="AH433" s="83"/>
      <c r="AI433" s="83"/>
    </row>
    <row r="434" spans="1:59" s="62" customFormat="1" outlineLevel="1" x14ac:dyDescent="0.25">
      <c r="B434" s="81"/>
      <c r="D434" s="82"/>
      <c r="E434" s="82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117"/>
      <c r="S434" s="91"/>
      <c r="T434" s="91"/>
      <c r="U434" s="91"/>
      <c r="V434" s="91"/>
      <c r="W434" s="91"/>
      <c r="X434" s="91"/>
      <c r="Y434" s="91"/>
      <c r="Z434" s="91"/>
      <c r="AA434" s="91"/>
      <c r="AB434" s="91"/>
      <c r="AC434" s="91"/>
      <c r="AD434" s="91"/>
      <c r="AE434" s="91"/>
      <c r="AF434" s="91"/>
      <c r="AH434" s="83"/>
      <c r="AI434" s="83"/>
    </row>
    <row r="435" spans="1:59" s="61" customFormat="1" ht="15.75" thickBot="1" x14ac:dyDescent="0.3">
      <c r="B435" s="61" t="s">
        <v>1318</v>
      </c>
      <c r="D435" s="82"/>
      <c r="E435" s="82"/>
      <c r="F435" s="89">
        <f>+F432</f>
        <v>12733.46</v>
      </c>
      <c r="G435" s="89">
        <f t="shared" ref="G435:AE435" si="205">+G432</f>
        <v>13036.75</v>
      </c>
      <c r="H435" s="89">
        <f t="shared" si="205"/>
        <v>13423.060000000001</v>
      </c>
      <c r="I435" s="89">
        <f t="shared" si="205"/>
        <v>10944.6</v>
      </c>
      <c r="J435" s="89">
        <f t="shared" si="205"/>
        <v>12781.81</v>
      </c>
      <c r="K435" s="89">
        <f t="shared" si="205"/>
        <v>15100.8</v>
      </c>
      <c r="L435" s="89">
        <f t="shared" si="205"/>
        <v>13019.2</v>
      </c>
      <c r="M435" s="89">
        <f t="shared" si="205"/>
        <v>15721.900000000001</v>
      </c>
      <c r="N435" s="89">
        <f t="shared" si="205"/>
        <v>13366.3</v>
      </c>
      <c r="O435" s="89">
        <f t="shared" si="205"/>
        <v>17262.150000000001</v>
      </c>
      <c r="P435" s="89">
        <f t="shared" si="205"/>
        <v>14223</v>
      </c>
      <c r="Q435" s="89">
        <f t="shared" si="205"/>
        <v>19304.55</v>
      </c>
      <c r="R435" s="89">
        <f t="shared" si="205"/>
        <v>170917.57999999996</v>
      </c>
      <c r="S435" s="89">
        <f t="shared" si="205"/>
        <v>1614.1912473559764</v>
      </c>
      <c r="T435" s="89">
        <f t="shared" si="205"/>
        <v>1652.794895167458</v>
      </c>
      <c r="U435" s="89">
        <f t="shared" si="205"/>
        <v>1700.8454428001396</v>
      </c>
      <c r="V435" s="89">
        <f t="shared" si="205"/>
        <v>1366.901831242136</v>
      </c>
      <c r="W435" s="89">
        <f t="shared" si="205"/>
        <v>1587.1130585885817</v>
      </c>
      <c r="X435" s="89">
        <f t="shared" si="205"/>
        <v>1893.0535556845377</v>
      </c>
      <c r="Y435" s="89">
        <f t="shared" si="205"/>
        <v>1618.8722233692104</v>
      </c>
      <c r="Z435" s="89">
        <f t="shared" si="205"/>
        <v>1964.3144632160943</v>
      </c>
      <c r="AA435" s="89">
        <f t="shared" si="205"/>
        <v>1673.7680277302752</v>
      </c>
      <c r="AB435" s="89">
        <f t="shared" si="205"/>
        <v>2157.467301102537</v>
      </c>
      <c r="AC435" s="89">
        <f t="shared" si="205"/>
        <v>1787.8213399503722</v>
      </c>
      <c r="AD435" s="89">
        <f t="shared" si="205"/>
        <v>2398.2414946509239</v>
      </c>
      <c r="AE435" s="89">
        <f t="shared" si="205"/>
        <v>1486.864716402881</v>
      </c>
      <c r="AF435" s="89"/>
      <c r="AH435" s="89"/>
      <c r="AI435" s="89"/>
      <c r="AK435" s="62"/>
      <c r="AL435" s="62"/>
      <c r="BB435" s="135">
        <f>+BB432</f>
        <v>170917.57999999996</v>
      </c>
      <c r="BE435" s="135">
        <f t="shared" ref="BE435:BF435" si="206">+BE432</f>
        <v>170917.57999999996</v>
      </c>
      <c r="BF435" s="135">
        <f t="shared" si="206"/>
        <v>0</v>
      </c>
      <c r="BG435" s="113">
        <f t="shared" ref="BG435" si="207">IFERROR(+BF435/BB435,0)</f>
        <v>0</v>
      </c>
    </row>
    <row r="436" spans="1:59" s="61" customFormat="1" ht="15.75" hidden="1" outlineLevel="1" thickTop="1" x14ac:dyDescent="0.25">
      <c r="D436" s="82"/>
      <c r="E436" s="82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117"/>
      <c r="S436" s="89"/>
      <c r="T436" s="89"/>
      <c r="U436" s="89"/>
      <c r="V436" s="89"/>
      <c r="W436" s="89"/>
      <c r="X436" s="89"/>
      <c r="Y436" s="89"/>
      <c r="Z436" s="89"/>
      <c r="AA436" s="89"/>
      <c r="AB436" s="89"/>
      <c r="AC436" s="89"/>
      <c r="AD436" s="89"/>
      <c r="AE436" s="89"/>
      <c r="AF436" s="89"/>
      <c r="AH436" s="89"/>
      <c r="AI436" s="89"/>
      <c r="AK436" s="62"/>
      <c r="AL436" s="62"/>
    </row>
    <row r="437" spans="1:59" s="61" customFormat="1" ht="15.75" hidden="1" outlineLevel="1" thickTop="1" x14ac:dyDescent="0.25">
      <c r="D437" s="82"/>
      <c r="E437" s="82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117"/>
      <c r="S437" s="89"/>
      <c r="T437" s="89"/>
      <c r="U437" s="89"/>
      <c r="V437" s="89"/>
      <c r="W437" s="89"/>
      <c r="X437" s="89"/>
      <c r="Y437" s="89"/>
      <c r="Z437" s="89"/>
      <c r="AA437" s="89"/>
      <c r="AB437" s="89"/>
      <c r="AC437" s="89"/>
      <c r="AD437" s="89"/>
      <c r="AE437" s="89"/>
      <c r="AF437" s="89"/>
      <c r="AH437" s="89"/>
      <c r="AI437" s="89"/>
      <c r="AK437" s="62"/>
      <c r="AL437" s="62"/>
    </row>
    <row r="438" spans="1:59" s="62" customFormat="1" ht="15.75" hidden="1" outlineLevel="1" thickTop="1" x14ac:dyDescent="0.25">
      <c r="A438" s="62" t="s">
        <v>1319</v>
      </c>
      <c r="B438" s="76" t="s">
        <v>1320</v>
      </c>
      <c r="D438" s="82"/>
      <c r="E438" s="82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117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H438" s="83"/>
      <c r="AI438" s="83"/>
    </row>
    <row r="439" spans="1:59" s="62" customFormat="1" ht="15.75" hidden="1" outlineLevel="1" thickTop="1" x14ac:dyDescent="0.25">
      <c r="A439" s="62" t="str">
        <f t="shared" ref="A439:A446" si="208">+$A$4&amp;$A$438&amp;B439</f>
        <v>MURREYSACCOUNTINGADJ-SB</v>
      </c>
      <c r="B439" s="81" t="s">
        <v>1321</v>
      </c>
      <c r="C439" s="81" t="s">
        <v>1322</v>
      </c>
      <c r="D439" s="82">
        <v>0</v>
      </c>
      <c r="E439" s="82">
        <v>0</v>
      </c>
      <c r="F439" s="83">
        <v>0</v>
      </c>
      <c r="G439" s="83">
        <v>0</v>
      </c>
      <c r="H439" s="83">
        <v>-0.37</v>
      </c>
      <c r="I439" s="83">
        <v>0</v>
      </c>
      <c r="J439" s="83">
        <v>0</v>
      </c>
      <c r="K439" s="83">
        <v>0</v>
      </c>
      <c r="L439" s="83">
        <v>0.74</v>
      </c>
      <c r="M439" s="83">
        <v>-0.08</v>
      </c>
      <c r="N439" s="83">
        <v>-0.21</v>
      </c>
      <c r="O439" s="83">
        <v>7.9899999999999993</v>
      </c>
      <c r="P439" s="83">
        <v>0</v>
      </c>
      <c r="Q439" s="83">
        <v>0</v>
      </c>
      <c r="R439" s="116">
        <f t="shared" ref="R439:R446" si="209">+SUM(F439:Q439)</f>
        <v>8.0699999999999985</v>
      </c>
      <c r="S439" s="83">
        <f t="shared" ref="S439:T446" si="210">+IFERROR(F439/$D439,0)</f>
        <v>0</v>
      </c>
      <c r="T439" s="83">
        <f t="shared" si="210"/>
        <v>0</v>
      </c>
      <c r="U439" s="83">
        <f t="shared" ref="U439:AD446" si="211">+IFERROR(H439/$E439,0)</f>
        <v>0</v>
      </c>
      <c r="V439" s="83">
        <f t="shared" si="211"/>
        <v>0</v>
      </c>
      <c r="W439" s="83">
        <f t="shared" si="211"/>
        <v>0</v>
      </c>
      <c r="X439" s="83">
        <f t="shared" si="211"/>
        <v>0</v>
      </c>
      <c r="Y439" s="83">
        <f t="shared" si="211"/>
        <v>0</v>
      </c>
      <c r="Z439" s="83">
        <f t="shared" si="211"/>
        <v>0</v>
      </c>
      <c r="AA439" s="83">
        <f t="shared" si="211"/>
        <v>0</v>
      </c>
      <c r="AB439" s="83">
        <f t="shared" si="211"/>
        <v>0</v>
      </c>
      <c r="AC439" s="83">
        <f t="shared" si="211"/>
        <v>0</v>
      </c>
      <c r="AD439" s="83">
        <f t="shared" si="211"/>
        <v>0</v>
      </c>
      <c r="AE439" s="83">
        <f t="shared" ref="AE439:AE446" si="212">+SUM(S439:AD439)/$AB$2</f>
        <v>0</v>
      </c>
      <c r="AF439" s="83"/>
      <c r="AH439" s="83"/>
      <c r="AI439" s="83"/>
      <c r="AK439" s="61"/>
      <c r="AL439" s="61"/>
    </row>
    <row r="440" spans="1:59" s="62" customFormat="1" ht="15.75" hidden="1" outlineLevel="1" thickTop="1" x14ac:dyDescent="0.25">
      <c r="A440" s="62" t="str">
        <f t="shared" si="208"/>
        <v>MURREYSACCOUNTINGADJTAX</v>
      </c>
      <c r="B440" s="81" t="s">
        <v>1323</v>
      </c>
      <c r="C440" s="81" t="s">
        <v>1324</v>
      </c>
      <c r="D440" s="82">
        <v>0</v>
      </c>
      <c r="E440" s="82">
        <v>0</v>
      </c>
      <c r="F440" s="83">
        <v>-58.75</v>
      </c>
      <c r="G440" s="83">
        <v>0</v>
      </c>
      <c r="H440" s="83">
        <v>-211.95000000000002</v>
      </c>
      <c r="I440" s="83">
        <v>-154.62</v>
      </c>
      <c r="J440" s="83">
        <v>-54.31</v>
      </c>
      <c r="K440" s="83">
        <v>-12.91</v>
      </c>
      <c r="L440" s="83">
        <v>-276.46999999999997</v>
      </c>
      <c r="M440" s="83">
        <v>0</v>
      </c>
      <c r="N440" s="83">
        <v>0</v>
      </c>
      <c r="O440" s="83">
        <v>-2.11</v>
      </c>
      <c r="P440" s="83">
        <v>-3.96</v>
      </c>
      <c r="Q440" s="83">
        <v>0</v>
      </c>
      <c r="R440" s="116">
        <f t="shared" si="209"/>
        <v>-775.08</v>
      </c>
      <c r="S440" s="83">
        <f t="shared" si="210"/>
        <v>0</v>
      </c>
      <c r="T440" s="83">
        <f t="shared" si="210"/>
        <v>0</v>
      </c>
      <c r="U440" s="83">
        <f t="shared" si="211"/>
        <v>0</v>
      </c>
      <c r="V440" s="83">
        <f t="shared" si="211"/>
        <v>0</v>
      </c>
      <c r="W440" s="83">
        <f t="shared" si="211"/>
        <v>0</v>
      </c>
      <c r="X440" s="83">
        <f t="shared" si="211"/>
        <v>0</v>
      </c>
      <c r="Y440" s="83">
        <f t="shared" si="211"/>
        <v>0</v>
      </c>
      <c r="Z440" s="83">
        <f t="shared" si="211"/>
        <v>0</v>
      </c>
      <c r="AA440" s="83">
        <f t="shared" si="211"/>
        <v>0</v>
      </c>
      <c r="AB440" s="83">
        <f t="shared" si="211"/>
        <v>0</v>
      </c>
      <c r="AC440" s="83">
        <f t="shared" si="211"/>
        <v>0</v>
      </c>
      <c r="AD440" s="83">
        <f t="shared" si="211"/>
        <v>0</v>
      </c>
      <c r="AE440" s="83">
        <f t="shared" si="212"/>
        <v>0</v>
      </c>
      <c r="AF440" s="83"/>
      <c r="AH440" s="83"/>
      <c r="AI440" s="83"/>
      <c r="AK440" s="61"/>
      <c r="AL440" s="61"/>
    </row>
    <row r="441" spans="1:59" s="62" customFormat="1" ht="15.75" hidden="1" outlineLevel="1" thickTop="1" x14ac:dyDescent="0.25">
      <c r="A441" s="62" t="str">
        <f t="shared" si="208"/>
        <v>MURREYSACCOUNTINGEMPLOYEE</v>
      </c>
      <c r="B441" s="81" t="s">
        <v>1325</v>
      </c>
      <c r="C441" s="81" t="s">
        <v>1326</v>
      </c>
      <c r="D441" s="82">
        <v>0</v>
      </c>
      <c r="E441" s="82">
        <v>0</v>
      </c>
      <c r="F441" s="83">
        <v>0</v>
      </c>
      <c r="G441" s="83">
        <v>0</v>
      </c>
      <c r="H441" s="83">
        <v>0</v>
      </c>
      <c r="I441" s="83">
        <v>0</v>
      </c>
      <c r="J441" s="83">
        <v>0</v>
      </c>
      <c r="K441" s="83">
        <v>0</v>
      </c>
      <c r="L441" s="83">
        <v>0</v>
      </c>
      <c r="M441" s="83">
        <v>0</v>
      </c>
      <c r="N441" s="83">
        <v>0</v>
      </c>
      <c r="O441" s="83">
        <v>0</v>
      </c>
      <c r="P441" s="83">
        <v>0</v>
      </c>
      <c r="Q441" s="83">
        <v>0</v>
      </c>
      <c r="R441" s="116">
        <f t="shared" si="209"/>
        <v>0</v>
      </c>
      <c r="S441" s="83">
        <f t="shared" si="210"/>
        <v>0</v>
      </c>
      <c r="T441" s="83">
        <f t="shared" si="210"/>
        <v>0</v>
      </c>
      <c r="U441" s="83">
        <f t="shared" si="211"/>
        <v>0</v>
      </c>
      <c r="V441" s="83">
        <f t="shared" si="211"/>
        <v>0</v>
      </c>
      <c r="W441" s="83">
        <f t="shared" si="211"/>
        <v>0</v>
      </c>
      <c r="X441" s="83">
        <f t="shared" si="211"/>
        <v>0</v>
      </c>
      <c r="Y441" s="83">
        <f t="shared" si="211"/>
        <v>0</v>
      </c>
      <c r="Z441" s="83">
        <f t="shared" si="211"/>
        <v>0</v>
      </c>
      <c r="AA441" s="83">
        <f t="shared" si="211"/>
        <v>0</v>
      </c>
      <c r="AB441" s="83">
        <f t="shared" si="211"/>
        <v>0</v>
      </c>
      <c r="AC441" s="83">
        <f t="shared" si="211"/>
        <v>0</v>
      </c>
      <c r="AD441" s="83">
        <f t="shared" si="211"/>
        <v>0</v>
      </c>
      <c r="AE441" s="83">
        <f t="shared" si="212"/>
        <v>0</v>
      </c>
      <c r="AF441" s="83"/>
      <c r="AH441" s="83"/>
      <c r="AI441" s="83"/>
    </row>
    <row r="442" spans="1:59" s="62" customFormat="1" ht="15.75" hidden="1" outlineLevel="1" thickTop="1" x14ac:dyDescent="0.25">
      <c r="A442" s="62" t="str">
        <f t="shared" si="208"/>
        <v>MURREYSACCOUNTINGFINCHG</v>
      </c>
      <c r="B442" s="81" t="s">
        <v>1327</v>
      </c>
      <c r="C442" s="81" t="s">
        <v>1328</v>
      </c>
      <c r="D442" s="82">
        <v>0</v>
      </c>
      <c r="E442" s="82">
        <v>0</v>
      </c>
      <c r="F442" s="83">
        <v>3315.02</v>
      </c>
      <c r="G442" s="83">
        <v>3582.09</v>
      </c>
      <c r="H442" s="83">
        <v>3121.24</v>
      </c>
      <c r="I442" s="83">
        <v>4631.76</v>
      </c>
      <c r="J442" s="83">
        <v>3672.9</v>
      </c>
      <c r="K442" s="83">
        <v>2573.1999999999998</v>
      </c>
      <c r="L442" s="83">
        <v>2818.68</v>
      </c>
      <c r="M442" s="83">
        <v>2685.73</v>
      </c>
      <c r="N442" s="83">
        <v>2806.7000000000003</v>
      </c>
      <c r="O442" s="83">
        <v>2474.67</v>
      </c>
      <c r="P442" s="83">
        <v>2822.8399999999997</v>
      </c>
      <c r="Q442" s="83">
        <v>2316.0600000000004</v>
      </c>
      <c r="R442" s="116">
        <f t="shared" si="209"/>
        <v>36820.89</v>
      </c>
      <c r="S442" s="83">
        <f t="shared" si="210"/>
        <v>0</v>
      </c>
      <c r="T442" s="83">
        <f t="shared" si="210"/>
        <v>0</v>
      </c>
      <c r="U442" s="83">
        <f t="shared" si="211"/>
        <v>0</v>
      </c>
      <c r="V442" s="83">
        <f t="shared" si="211"/>
        <v>0</v>
      </c>
      <c r="W442" s="83">
        <f t="shared" si="211"/>
        <v>0</v>
      </c>
      <c r="X442" s="83">
        <f t="shared" si="211"/>
        <v>0</v>
      </c>
      <c r="Y442" s="83">
        <f t="shared" si="211"/>
        <v>0</v>
      </c>
      <c r="Z442" s="83">
        <f t="shared" si="211"/>
        <v>0</v>
      </c>
      <c r="AA442" s="83">
        <f t="shared" si="211"/>
        <v>0</v>
      </c>
      <c r="AB442" s="83">
        <f t="shared" si="211"/>
        <v>0</v>
      </c>
      <c r="AC442" s="83">
        <f t="shared" si="211"/>
        <v>0</v>
      </c>
      <c r="AD442" s="83">
        <f t="shared" si="211"/>
        <v>0</v>
      </c>
      <c r="AE442" s="83">
        <f t="shared" si="212"/>
        <v>0</v>
      </c>
      <c r="AF442" s="83"/>
      <c r="AH442" s="83"/>
      <c r="AI442" s="83"/>
      <c r="AK442" s="61"/>
      <c r="AL442" s="61"/>
    </row>
    <row r="443" spans="1:59" s="62" customFormat="1" ht="15.75" hidden="1" outlineLevel="1" thickTop="1" x14ac:dyDescent="0.25">
      <c r="A443" s="62" t="str">
        <f t="shared" si="208"/>
        <v>MURREYSACCOUNTINGLEGAL-COM</v>
      </c>
      <c r="B443" s="81" t="s">
        <v>1329</v>
      </c>
      <c r="C443" s="81" t="s">
        <v>1330</v>
      </c>
      <c r="D443" s="82">
        <v>0</v>
      </c>
      <c r="E443" s="82">
        <v>0</v>
      </c>
      <c r="F443" s="83">
        <v>0</v>
      </c>
      <c r="G443" s="83">
        <v>0</v>
      </c>
      <c r="H443" s="83">
        <v>0</v>
      </c>
      <c r="I443" s="83">
        <v>0</v>
      </c>
      <c r="J443" s="83">
        <v>0</v>
      </c>
      <c r="K443" s="83">
        <v>0</v>
      </c>
      <c r="L443" s="83">
        <v>0</v>
      </c>
      <c r="M443" s="83">
        <v>0</v>
      </c>
      <c r="N443" s="83">
        <v>0</v>
      </c>
      <c r="O443" s="83">
        <v>0</v>
      </c>
      <c r="P443" s="83">
        <v>0</v>
      </c>
      <c r="Q443" s="83">
        <v>0</v>
      </c>
      <c r="R443" s="116">
        <f t="shared" si="209"/>
        <v>0</v>
      </c>
      <c r="S443" s="83">
        <f t="shared" si="210"/>
        <v>0</v>
      </c>
      <c r="T443" s="83">
        <f t="shared" si="210"/>
        <v>0</v>
      </c>
      <c r="U443" s="83">
        <f t="shared" si="211"/>
        <v>0</v>
      </c>
      <c r="V443" s="83">
        <f t="shared" si="211"/>
        <v>0</v>
      </c>
      <c r="W443" s="83">
        <f t="shared" si="211"/>
        <v>0</v>
      </c>
      <c r="X443" s="83">
        <f t="shared" si="211"/>
        <v>0</v>
      </c>
      <c r="Y443" s="83">
        <f t="shared" si="211"/>
        <v>0</v>
      </c>
      <c r="Z443" s="83">
        <f t="shared" si="211"/>
        <v>0</v>
      </c>
      <c r="AA443" s="83">
        <f t="shared" si="211"/>
        <v>0</v>
      </c>
      <c r="AB443" s="83">
        <f t="shared" si="211"/>
        <v>0</v>
      </c>
      <c r="AC443" s="83">
        <f t="shared" si="211"/>
        <v>0</v>
      </c>
      <c r="AD443" s="83">
        <f t="shared" si="211"/>
        <v>0</v>
      </c>
      <c r="AE443" s="83">
        <f t="shared" si="212"/>
        <v>0</v>
      </c>
      <c r="AF443" s="83"/>
      <c r="AH443" s="83"/>
      <c r="AI443" s="83"/>
      <c r="AK443" s="61"/>
      <c r="AL443" s="61"/>
    </row>
    <row r="444" spans="1:59" s="62" customFormat="1" ht="15.75" hidden="1" outlineLevel="1" thickTop="1" x14ac:dyDescent="0.25">
      <c r="A444" s="62" t="str">
        <f t="shared" si="208"/>
        <v>MURREYSACCOUNTINGNSF FEES</v>
      </c>
      <c r="B444" s="81" t="s">
        <v>1331</v>
      </c>
      <c r="C444" s="81" t="s">
        <v>1332</v>
      </c>
      <c r="D444" s="82">
        <v>21.74</v>
      </c>
      <c r="E444" s="82">
        <v>21.74</v>
      </c>
      <c r="F444" s="83">
        <v>108.69999999999999</v>
      </c>
      <c r="G444" s="83">
        <v>130.44</v>
      </c>
      <c r="H444" s="83">
        <v>86.96</v>
      </c>
      <c r="I444" s="83">
        <v>108.69999999999999</v>
      </c>
      <c r="J444" s="83">
        <v>21.74</v>
      </c>
      <c r="K444" s="83">
        <v>21.74</v>
      </c>
      <c r="L444" s="83">
        <v>65.22</v>
      </c>
      <c r="M444" s="83">
        <v>130.86000000000001</v>
      </c>
      <c r="N444" s="83">
        <v>87.2</v>
      </c>
      <c r="O444" s="83">
        <v>130.80000000000001</v>
      </c>
      <c r="P444" s="83">
        <v>65.400000000000006</v>
      </c>
      <c r="Q444" s="83">
        <v>87.2</v>
      </c>
      <c r="R444" s="116">
        <f t="shared" si="209"/>
        <v>1044.96</v>
      </c>
      <c r="S444" s="83">
        <f t="shared" si="210"/>
        <v>5</v>
      </c>
      <c r="T444" s="83">
        <f t="shared" si="210"/>
        <v>6</v>
      </c>
      <c r="U444" s="83">
        <f t="shared" si="211"/>
        <v>4</v>
      </c>
      <c r="V444" s="83">
        <f t="shared" si="211"/>
        <v>5</v>
      </c>
      <c r="W444" s="83">
        <f t="shared" si="211"/>
        <v>1</v>
      </c>
      <c r="X444" s="83">
        <f t="shared" si="211"/>
        <v>1</v>
      </c>
      <c r="Y444" s="83">
        <f t="shared" si="211"/>
        <v>3</v>
      </c>
      <c r="Z444" s="83">
        <f t="shared" si="211"/>
        <v>6.0193192272309117</v>
      </c>
      <c r="AA444" s="83">
        <f t="shared" si="211"/>
        <v>4.0110395584176635</v>
      </c>
      <c r="AB444" s="83">
        <f t="shared" si="211"/>
        <v>6.0165593376264956</v>
      </c>
      <c r="AC444" s="83">
        <f t="shared" si="211"/>
        <v>3.0082796688132478</v>
      </c>
      <c r="AD444" s="83">
        <f t="shared" si="211"/>
        <v>4.0110395584176635</v>
      </c>
      <c r="AE444" s="83">
        <f t="shared" si="212"/>
        <v>4.0055197792088313</v>
      </c>
      <c r="AF444" s="83"/>
      <c r="AH444" s="83"/>
      <c r="AI444" s="83"/>
      <c r="AK444" s="61"/>
      <c r="AL444" s="61"/>
    </row>
    <row r="445" spans="1:59" s="62" customFormat="1" ht="15.75" hidden="1" outlineLevel="1" thickTop="1" x14ac:dyDescent="0.25">
      <c r="A445" s="62" t="str">
        <f t="shared" si="208"/>
        <v>MURREYSACCOUNTINGPO</v>
      </c>
      <c r="B445" s="81" t="s">
        <v>1333</v>
      </c>
      <c r="C445" s="81" t="s">
        <v>1334</v>
      </c>
      <c r="D445" s="82">
        <v>0</v>
      </c>
      <c r="E445" s="82">
        <v>0</v>
      </c>
      <c r="F445" s="83">
        <v>0</v>
      </c>
      <c r="G445" s="83">
        <v>0</v>
      </c>
      <c r="H445" s="83">
        <v>0</v>
      </c>
      <c r="I445" s="83">
        <v>0</v>
      </c>
      <c r="J445" s="83">
        <v>0</v>
      </c>
      <c r="K445" s="83">
        <v>0</v>
      </c>
      <c r="L445" s="83">
        <v>0</v>
      </c>
      <c r="M445" s="83">
        <v>0</v>
      </c>
      <c r="N445" s="83">
        <v>0</v>
      </c>
      <c r="O445" s="83">
        <v>0</v>
      </c>
      <c r="P445" s="83">
        <v>0</v>
      </c>
      <c r="Q445" s="83">
        <v>0</v>
      </c>
      <c r="R445" s="116">
        <f t="shared" si="209"/>
        <v>0</v>
      </c>
      <c r="S445" s="83">
        <f t="shared" si="210"/>
        <v>0</v>
      </c>
      <c r="T445" s="83">
        <f t="shared" si="210"/>
        <v>0</v>
      </c>
      <c r="U445" s="83">
        <f t="shared" si="211"/>
        <v>0</v>
      </c>
      <c r="V445" s="83">
        <f t="shared" si="211"/>
        <v>0</v>
      </c>
      <c r="W445" s="83">
        <f t="shared" si="211"/>
        <v>0</v>
      </c>
      <c r="X445" s="83">
        <f t="shared" si="211"/>
        <v>0</v>
      </c>
      <c r="Y445" s="83">
        <f t="shared" si="211"/>
        <v>0</v>
      </c>
      <c r="Z445" s="83">
        <f t="shared" si="211"/>
        <v>0</v>
      </c>
      <c r="AA445" s="83">
        <f t="shared" si="211"/>
        <v>0</v>
      </c>
      <c r="AB445" s="83">
        <f t="shared" si="211"/>
        <v>0</v>
      </c>
      <c r="AC445" s="83">
        <f t="shared" si="211"/>
        <v>0</v>
      </c>
      <c r="AD445" s="83">
        <f t="shared" si="211"/>
        <v>0</v>
      </c>
      <c r="AE445" s="83">
        <f t="shared" si="212"/>
        <v>0</v>
      </c>
      <c r="AF445" s="83"/>
      <c r="AH445" s="83"/>
      <c r="AI445" s="83"/>
    </row>
    <row r="446" spans="1:59" s="62" customFormat="1" ht="15.75" hidden="1" outlineLevel="1" thickTop="1" x14ac:dyDescent="0.25">
      <c r="A446" s="62" t="str">
        <f t="shared" si="208"/>
        <v>MURREYSACCOUNTINGSHOPSERVICE</v>
      </c>
      <c r="B446" s="81" t="s">
        <v>1335</v>
      </c>
      <c r="C446" s="81" t="s">
        <v>1336</v>
      </c>
      <c r="D446" s="82">
        <v>0</v>
      </c>
      <c r="E446" s="82">
        <v>0</v>
      </c>
      <c r="F446" s="83">
        <v>112.5</v>
      </c>
      <c r="G446" s="83">
        <v>0</v>
      </c>
      <c r="H446" s="83">
        <v>0</v>
      </c>
      <c r="I446" s="83">
        <v>100</v>
      </c>
      <c r="J446" s="83">
        <v>50</v>
      </c>
      <c r="K446" s="83">
        <v>0</v>
      </c>
      <c r="L446" s="83">
        <v>0</v>
      </c>
      <c r="M446" s="83">
        <v>0</v>
      </c>
      <c r="N446" s="83">
        <v>0</v>
      </c>
      <c r="O446" s="83">
        <v>0</v>
      </c>
      <c r="P446" s="83">
        <v>0</v>
      </c>
      <c r="Q446" s="83">
        <v>0</v>
      </c>
      <c r="R446" s="116">
        <f t="shared" si="209"/>
        <v>262.5</v>
      </c>
      <c r="S446" s="83">
        <f t="shared" si="210"/>
        <v>0</v>
      </c>
      <c r="T446" s="83">
        <f t="shared" si="210"/>
        <v>0</v>
      </c>
      <c r="U446" s="83">
        <f t="shared" si="211"/>
        <v>0</v>
      </c>
      <c r="V446" s="83">
        <f t="shared" si="211"/>
        <v>0</v>
      </c>
      <c r="W446" s="83">
        <f t="shared" si="211"/>
        <v>0</v>
      </c>
      <c r="X446" s="83">
        <f t="shared" si="211"/>
        <v>0</v>
      </c>
      <c r="Y446" s="83">
        <f t="shared" si="211"/>
        <v>0</v>
      </c>
      <c r="Z446" s="83">
        <f t="shared" si="211"/>
        <v>0</v>
      </c>
      <c r="AA446" s="83">
        <f t="shared" si="211"/>
        <v>0</v>
      </c>
      <c r="AB446" s="83">
        <f t="shared" si="211"/>
        <v>0</v>
      </c>
      <c r="AC446" s="83">
        <f t="shared" si="211"/>
        <v>0</v>
      </c>
      <c r="AD446" s="83">
        <f t="shared" si="211"/>
        <v>0</v>
      </c>
      <c r="AE446" s="83">
        <f t="shared" si="212"/>
        <v>0</v>
      </c>
      <c r="AF446" s="83"/>
      <c r="AH446" s="83"/>
      <c r="AI446" s="83"/>
    </row>
    <row r="447" spans="1:59" s="62" customFormat="1" ht="15.75" hidden="1" outlineLevel="1" thickTop="1" x14ac:dyDescent="0.25">
      <c r="B447" s="81"/>
      <c r="C447" s="81"/>
      <c r="D447" s="82"/>
      <c r="E447" s="82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117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H447" s="83"/>
      <c r="AI447" s="83"/>
    </row>
    <row r="448" spans="1:59" s="62" customFormat="1" ht="15.75" hidden="1" outlineLevel="1" thickTop="1" x14ac:dyDescent="0.25">
      <c r="B448" s="81"/>
      <c r="C448" s="85" t="s">
        <v>1337</v>
      </c>
      <c r="D448" s="82"/>
      <c r="E448" s="82"/>
      <c r="F448" s="86">
        <f t="shared" ref="F448:R448" si="213">+SUM(F439:F447)</f>
        <v>3477.47</v>
      </c>
      <c r="G448" s="86">
        <f t="shared" si="213"/>
        <v>3712.53</v>
      </c>
      <c r="H448" s="86">
        <f t="shared" si="213"/>
        <v>2995.8799999999997</v>
      </c>
      <c r="I448" s="86">
        <f t="shared" si="213"/>
        <v>4685.84</v>
      </c>
      <c r="J448" s="86">
        <f t="shared" si="213"/>
        <v>3690.33</v>
      </c>
      <c r="K448" s="86">
        <f t="shared" si="213"/>
        <v>2582.0299999999997</v>
      </c>
      <c r="L448" s="86">
        <f t="shared" si="213"/>
        <v>2608.1699999999996</v>
      </c>
      <c r="M448" s="86">
        <f t="shared" si="213"/>
        <v>2816.51</v>
      </c>
      <c r="N448" s="86">
        <f t="shared" si="213"/>
        <v>2893.69</v>
      </c>
      <c r="O448" s="86">
        <f t="shared" si="213"/>
        <v>2611.3500000000004</v>
      </c>
      <c r="P448" s="86">
        <f t="shared" si="213"/>
        <v>2884.2799999999997</v>
      </c>
      <c r="Q448" s="86">
        <f t="shared" si="213"/>
        <v>2403.2600000000002</v>
      </c>
      <c r="R448" s="86">
        <f t="shared" si="213"/>
        <v>37361.339999999997</v>
      </c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7"/>
      <c r="AH448" s="83"/>
      <c r="AI448" s="83"/>
    </row>
    <row r="449" spans="2:59" s="62" customFormat="1" ht="15.75" hidden="1" outlineLevel="1" thickTop="1" x14ac:dyDescent="0.25">
      <c r="B449" s="81"/>
      <c r="C449" s="85"/>
      <c r="D449" s="82"/>
      <c r="E449" s="82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117"/>
      <c r="S449" s="87"/>
      <c r="T449" s="87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  <c r="AH449" s="83"/>
      <c r="AI449" s="83"/>
    </row>
    <row r="450" spans="2:59" s="62" customFormat="1" ht="15.75" hidden="1" outlineLevel="1" thickTop="1" x14ac:dyDescent="0.25">
      <c r="B450" s="81"/>
      <c r="D450" s="82"/>
      <c r="E450" s="82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117"/>
      <c r="S450" s="91"/>
      <c r="T450" s="91"/>
      <c r="U450" s="91"/>
      <c r="V450" s="91"/>
      <c r="W450" s="91"/>
      <c r="X450" s="91"/>
      <c r="Y450" s="91"/>
      <c r="Z450" s="91"/>
      <c r="AA450" s="91"/>
      <c r="AB450" s="91"/>
      <c r="AC450" s="91"/>
      <c r="AD450" s="91"/>
      <c r="AE450" s="91"/>
      <c r="AF450" s="91"/>
      <c r="AH450" s="83"/>
      <c r="AI450" s="83"/>
    </row>
    <row r="451" spans="2:59" s="61" customFormat="1" ht="15.75" collapsed="1" thickTop="1" x14ac:dyDescent="0.25">
      <c r="B451" s="61" t="s">
        <v>1338</v>
      </c>
      <c r="D451" s="82"/>
      <c r="E451" s="82"/>
      <c r="F451" s="89">
        <f>+F448</f>
        <v>3477.47</v>
      </c>
      <c r="G451" s="89">
        <f t="shared" ref="G451:R451" si="214">+G448</f>
        <v>3712.53</v>
      </c>
      <c r="H451" s="89">
        <f t="shared" si="214"/>
        <v>2995.8799999999997</v>
      </c>
      <c r="I451" s="89">
        <f t="shared" si="214"/>
        <v>4685.84</v>
      </c>
      <c r="J451" s="89">
        <f t="shared" si="214"/>
        <v>3690.33</v>
      </c>
      <c r="K451" s="89">
        <f t="shared" si="214"/>
        <v>2582.0299999999997</v>
      </c>
      <c r="L451" s="89">
        <f t="shared" si="214"/>
        <v>2608.1699999999996</v>
      </c>
      <c r="M451" s="89">
        <f t="shared" si="214"/>
        <v>2816.51</v>
      </c>
      <c r="N451" s="89">
        <f t="shared" si="214"/>
        <v>2893.69</v>
      </c>
      <c r="O451" s="89">
        <f t="shared" si="214"/>
        <v>2611.3500000000004</v>
      </c>
      <c r="P451" s="89">
        <f t="shared" si="214"/>
        <v>2884.2799999999997</v>
      </c>
      <c r="Q451" s="89">
        <f t="shared" si="214"/>
        <v>2403.2600000000002</v>
      </c>
      <c r="R451" s="89">
        <f t="shared" si="214"/>
        <v>37361.339999999997</v>
      </c>
      <c r="S451" s="89">
        <f>+S448</f>
        <v>0</v>
      </c>
      <c r="T451" s="89">
        <f t="shared" ref="T451:AE451" si="215">+T448</f>
        <v>0</v>
      </c>
      <c r="U451" s="89">
        <f t="shared" ref="U451:AD451" si="216">+IFERROR(H451/$E451,0)</f>
        <v>0</v>
      </c>
      <c r="V451" s="89">
        <f t="shared" si="216"/>
        <v>0</v>
      </c>
      <c r="W451" s="89">
        <f t="shared" si="216"/>
        <v>0</v>
      </c>
      <c r="X451" s="89">
        <f t="shared" si="216"/>
        <v>0</v>
      </c>
      <c r="Y451" s="89">
        <f t="shared" si="216"/>
        <v>0</v>
      </c>
      <c r="Z451" s="89">
        <f t="shared" si="216"/>
        <v>0</v>
      </c>
      <c r="AA451" s="89">
        <f t="shared" si="216"/>
        <v>0</v>
      </c>
      <c r="AB451" s="89">
        <f t="shared" si="216"/>
        <v>0</v>
      </c>
      <c r="AC451" s="89">
        <f t="shared" si="216"/>
        <v>0</v>
      </c>
      <c r="AD451" s="89">
        <f t="shared" si="216"/>
        <v>0</v>
      </c>
      <c r="AE451" s="89">
        <f t="shared" si="215"/>
        <v>0</v>
      </c>
      <c r="AF451" s="89"/>
      <c r="AH451" s="89"/>
      <c r="AI451" s="89"/>
      <c r="AK451" s="62"/>
      <c r="AL451" s="62"/>
    </row>
    <row r="452" spans="2:59" s="61" customFormat="1" x14ac:dyDescent="0.25">
      <c r="D452" s="82"/>
      <c r="E452" s="82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133"/>
      <c r="Q452" s="133"/>
      <c r="R452" s="117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H452" s="89"/>
      <c r="AI452" s="89"/>
      <c r="AK452" s="62"/>
      <c r="AL452" s="62"/>
    </row>
    <row r="453" spans="2:59" s="62" customFormat="1" x14ac:dyDescent="0.25">
      <c r="D453" s="82"/>
      <c r="E453" s="82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83"/>
      <c r="Q453" s="83"/>
      <c r="R453" s="117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H453" s="83"/>
      <c r="AI453" s="83"/>
    </row>
    <row r="454" spans="2:59" s="61" customFormat="1" ht="15.75" thickBot="1" x14ac:dyDescent="0.3">
      <c r="B454" s="61" t="s">
        <v>1339</v>
      </c>
      <c r="D454" s="82"/>
      <c r="E454" s="82"/>
      <c r="F454" s="95">
        <f t="shared" ref="F454:AE454" si="217">+F110+F318+F421+F435+F451</f>
        <v>3614957.8200000003</v>
      </c>
      <c r="G454" s="95">
        <f t="shared" si="217"/>
        <v>3529189.27</v>
      </c>
      <c r="H454" s="95">
        <f t="shared" si="217"/>
        <v>3592207.1950000008</v>
      </c>
      <c r="I454" s="95">
        <f t="shared" si="217"/>
        <v>3477958.0249999999</v>
      </c>
      <c r="J454" s="95">
        <f t="shared" si="217"/>
        <v>3495533.9799999995</v>
      </c>
      <c r="K454" s="95">
        <f t="shared" si="217"/>
        <v>3634335.895</v>
      </c>
      <c r="L454" s="95">
        <f t="shared" si="217"/>
        <v>3650830.1750000007</v>
      </c>
      <c r="M454" s="95">
        <f t="shared" si="217"/>
        <v>3633825.2949999995</v>
      </c>
      <c r="N454" s="95">
        <f t="shared" si="217"/>
        <v>3710302.0900000008</v>
      </c>
      <c r="O454" s="95">
        <f t="shared" si="217"/>
        <v>3710991.75</v>
      </c>
      <c r="P454" s="95">
        <f t="shared" si="217"/>
        <v>3673468.1999999997</v>
      </c>
      <c r="Q454" s="95">
        <f t="shared" si="217"/>
        <v>3743978.96</v>
      </c>
      <c r="R454" s="95">
        <f t="shared" si="217"/>
        <v>43467578.654999994</v>
      </c>
      <c r="S454" s="95">
        <f t="shared" si="217"/>
        <v>164797.33229266558</v>
      </c>
      <c r="T454" s="95">
        <f t="shared" si="217"/>
        <v>164600.68154534718</v>
      </c>
      <c r="U454" s="95">
        <f t="shared" si="217"/>
        <v>166369.54918088313</v>
      </c>
      <c r="V454" s="95">
        <f t="shared" si="217"/>
        <v>166660.27855202998</v>
      </c>
      <c r="W454" s="95">
        <f t="shared" si="217"/>
        <v>167116.42232647995</v>
      </c>
      <c r="X454" s="95">
        <f t="shared" si="217"/>
        <v>170391.23716341579</v>
      </c>
      <c r="Y454" s="95">
        <f t="shared" si="217"/>
        <v>170643.68039844159</v>
      </c>
      <c r="Z454" s="95">
        <f t="shared" si="217"/>
        <v>172085.03649337214</v>
      </c>
      <c r="AA454" s="95">
        <f t="shared" si="217"/>
        <v>172641.08563538859</v>
      </c>
      <c r="AB454" s="95">
        <f t="shared" si="217"/>
        <v>173462.90540058681</v>
      </c>
      <c r="AC454" s="95">
        <f t="shared" si="217"/>
        <v>173000.34200000239</v>
      </c>
      <c r="AD454" s="95">
        <f t="shared" si="217"/>
        <v>173858.87596322931</v>
      </c>
      <c r="AE454" s="95">
        <f t="shared" si="217"/>
        <v>165948.08497454596</v>
      </c>
      <c r="AF454" s="96"/>
      <c r="AH454" s="89"/>
      <c r="AI454" s="89"/>
      <c r="AK454" s="62"/>
      <c r="AL454" s="62"/>
      <c r="BB454" s="135">
        <f>SUM(BB435,BB421,BB318,BB110)</f>
        <v>38722536.493871436</v>
      </c>
      <c r="BE454" s="135">
        <f t="shared" ref="BE454:BF454" si="218">SUM(BE435,BE421,BE318,BE110)</f>
        <v>38901489.866163984</v>
      </c>
      <c r="BF454" s="135">
        <f t="shared" si="218"/>
        <v>178953.37229254382</v>
      </c>
      <c r="BG454" s="113">
        <f t="shared" ref="BG454" si="219">IFERROR(+BF454/BB454,0)</f>
        <v>4.6214269130036593E-3</v>
      </c>
    </row>
    <row r="455" spans="2:59" s="61" customFormat="1" ht="15.75" thickTop="1" x14ac:dyDescent="0.25">
      <c r="D455" s="82"/>
      <c r="E455" s="82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133"/>
      <c r="Q455" s="133"/>
      <c r="R455" s="117"/>
      <c r="S455" s="89"/>
      <c r="T455" s="89"/>
      <c r="U455" s="89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H455" s="89"/>
      <c r="AI455" s="89"/>
      <c r="AK455" s="62"/>
      <c r="AL455" s="62"/>
    </row>
    <row r="456" spans="2:59" s="61" customFormat="1" outlineLevel="1" x14ac:dyDescent="0.25">
      <c r="D456" s="97"/>
      <c r="E456" s="97"/>
      <c r="F456" s="98">
        <v>0</v>
      </c>
      <c r="G456" s="98">
        <v>0</v>
      </c>
      <c r="H456" s="98">
        <v>0</v>
      </c>
      <c r="I456" s="98">
        <v>0</v>
      </c>
      <c r="J456" s="98">
        <v>0</v>
      </c>
      <c r="K456" s="98">
        <v>0</v>
      </c>
      <c r="L456" s="98">
        <v>0</v>
      </c>
      <c r="M456" s="98">
        <v>0</v>
      </c>
      <c r="N456" s="98">
        <v>0</v>
      </c>
      <c r="O456" s="98">
        <v>0</v>
      </c>
      <c r="P456" s="98">
        <v>0</v>
      </c>
      <c r="Q456" s="98">
        <v>0</v>
      </c>
      <c r="R456" s="117"/>
      <c r="S456" s="89"/>
      <c r="T456" s="89"/>
      <c r="U456" s="89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H456" s="89"/>
      <c r="AI456" s="89"/>
      <c r="AK456" s="62"/>
      <c r="AL456" s="62"/>
    </row>
    <row r="457" spans="2:59" s="62" customFormat="1" outlineLevel="1" x14ac:dyDescent="0.25">
      <c r="D457" s="99"/>
      <c r="E457" s="99"/>
      <c r="F457" s="98">
        <v>0</v>
      </c>
      <c r="G457" s="98">
        <v>0</v>
      </c>
      <c r="H457" s="98">
        <v>0</v>
      </c>
      <c r="I457" s="98">
        <v>0</v>
      </c>
      <c r="J457" s="98">
        <v>0</v>
      </c>
      <c r="K457" s="98">
        <v>0</v>
      </c>
      <c r="L457" s="98">
        <v>0</v>
      </c>
      <c r="M457" s="98">
        <v>0</v>
      </c>
      <c r="N457" s="98">
        <v>0</v>
      </c>
      <c r="O457" s="98">
        <v>0</v>
      </c>
      <c r="P457" s="98">
        <v>0</v>
      </c>
      <c r="Q457" s="98">
        <v>0</v>
      </c>
      <c r="R457" s="117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H457" s="83"/>
      <c r="AI457" s="83"/>
    </row>
    <row r="458" spans="2:59" s="62" customFormat="1" outlineLevel="1" x14ac:dyDescent="0.25">
      <c r="D458" s="99"/>
      <c r="E458" s="99"/>
      <c r="F458" s="98">
        <v>0</v>
      </c>
      <c r="G458" s="98">
        <v>0</v>
      </c>
      <c r="H458" s="98">
        <v>0</v>
      </c>
      <c r="I458" s="98">
        <v>0</v>
      </c>
      <c r="J458" s="98">
        <v>0</v>
      </c>
      <c r="K458" s="98">
        <v>0</v>
      </c>
      <c r="L458" s="98">
        <v>0</v>
      </c>
      <c r="M458" s="98">
        <v>0</v>
      </c>
      <c r="N458" s="98">
        <v>0</v>
      </c>
      <c r="O458" s="98">
        <v>0</v>
      </c>
      <c r="P458" s="98">
        <v>0</v>
      </c>
      <c r="Q458" s="98">
        <v>0</v>
      </c>
      <c r="R458" s="117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H458" s="83"/>
      <c r="AI458" s="83"/>
      <c r="BF458" s="62">
        <f>79500+25000+10000+10600+23400+8700</f>
        <v>157200</v>
      </c>
    </row>
    <row r="459" spans="2:59" s="62" customFormat="1" outlineLevel="1" x14ac:dyDescent="0.25">
      <c r="D459" s="99"/>
      <c r="E459" s="99"/>
      <c r="F459" s="98">
        <v>0</v>
      </c>
      <c r="G459" s="98">
        <v>0</v>
      </c>
      <c r="H459" s="98">
        <v>0</v>
      </c>
      <c r="I459" s="98">
        <v>0</v>
      </c>
      <c r="J459" s="98">
        <v>0</v>
      </c>
      <c r="K459" s="98">
        <v>0</v>
      </c>
      <c r="L459" s="98">
        <v>0</v>
      </c>
      <c r="M459" s="98">
        <v>0</v>
      </c>
      <c r="N459" s="98">
        <v>0</v>
      </c>
      <c r="O459" s="98">
        <v>0</v>
      </c>
      <c r="P459" s="98">
        <v>0</v>
      </c>
      <c r="Q459" s="98">
        <v>0</v>
      </c>
      <c r="R459" s="117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H459" s="83"/>
      <c r="AI459" s="83"/>
    </row>
    <row r="460" spans="2:59" s="62" customFormat="1" outlineLevel="1" x14ac:dyDescent="0.25">
      <c r="D460" s="99"/>
      <c r="E460" s="99"/>
      <c r="F460" s="98">
        <v>0</v>
      </c>
      <c r="G460" s="98">
        <v>0</v>
      </c>
      <c r="H460" s="98">
        <v>0</v>
      </c>
      <c r="I460" s="98">
        <v>0</v>
      </c>
      <c r="J460" s="98">
        <v>0</v>
      </c>
      <c r="K460" s="98">
        <v>0</v>
      </c>
      <c r="L460" s="98">
        <v>0</v>
      </c>
      <c r="M460" s="98">
        <v>0</v>
      </c>
      <c r="N460" s="98">
        <v>0</v>
      </c>
      <c r="O460" s="98">
        <v>0</v>
      </c>
      <c r="P460" s="98">
        <v>0</v>
      </c>
      <c r="Q460" s="98">
        <v>0</v>
      </c>
      <c r="R460" s="117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H460" s="83"/>
      <c r="AI460" s="83"/>
    </row>
    <row r="461" spans="2:59" s="62" customFormat="1" outlineLevel="1" x14ac:dyDescent="0.25">
      <c r="D461" s="99"/>
      <c r="E461" s="99"/>
      <c r="F461" s="98">
        <v>0</v>
      </c>
      <c r="G461" s="98">
        <v>0</v>
      </c>
      <c r="H461" s="98">
        <v>0</v>
      </c>
      <c r="I461" s="98">
        <v>0</v>
      </c>
      <c r="J461" s="98">
        <v>0</v>
      </c>
      <c r="K461" s="98">
        <v>0</v>
      </c>
      <c r="L461" s="98">
        <v>0</v>
      </c>
      <c r="M461" s="98">
        <v>0</v>
      </c>
      <c r="N461" s="98">
        <v>0</v>
      </c>
      <c r="O461" s="98">
        <v>0</v>
      </c>
      <c r="P461" s="98">
        <v>0</v>
      </c>
      <c r="Q461" s="98">
        <v>0</v>
      </c>
      <c r="R461" s="117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H461" s="83"/>
      <c r="AI461" s="83"/>
    </row>
    <row r="462" spans="2:59" s="62" customFormat="1" outlineLevel="1" x14ac:dyDescent="0.25">
      <c r="D462" s="99"/>
      <c r="E462" s="99"/>
      <c r="F462" s="98">
        <v>0</v>
      </c>
      <c r="G462" s="98">
        <v>0</v>
      </c>
      <c r="H462" s="98">
        <v>0</v>
      </c>
      <c r="I462" s="98">
        <v>0</v>
      </c>
      <c r="J462" s="98">
        <v>0</v>
      </c>
      <c r="K462" s="98">
        <v>0</v>
      </c>
      <c r="L462" s="98">
        <v>0</v>
      </c>
      <c r="M462" s="98">
        <v>0</v>
      </c>
      <c r="N462" s="98">
        <v>0</v>
      </c>
      <c r="O462" s="98">
        <v>0</v>
      </c>
      <c r="P462" s="98">
        <v>0</v>
      </c>
      <c r="Q462" s="98">
        <v>0</v>
      </c>
      <c r="R462" s="117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H462" s="83"/>
      <c r="AI462" s="83"/>
    </row>
    <row r="463" spans="2:59" s="62" customFormat="1" outlineLevel="1" x14ac:dyDescent="0.25">
      <c r="D463" s="99"/>
      <c r="E463" s="99"/>
      <c r="F463" s="98">
        <v>0</v>
      </c>
      <c r="G463" s="98">
        <v>0</v>
      </c>
      <c r="H463" s="98">
        <v>0</v>
      </c>
      <c r="I463" s="98">
        <v>0</v>
      </c>
      <c r="J463" s="98">
        <v>0</v>
      </c>
      <c r="K463" s="98">
        <v>0</v>
      </c>
      <c r="L463" s="98">
        <v>0</v>
      </c>
      <c r="M463" s="98">
        <v>0</v>
      </c>
      <c r="N463" s="98">
        <v>0</v>
      </c>
      <c r="O463" s="98">
        <v>0</v>
      </c>
      <c r="P463" s="98">
        <v>0</v>
      </c>
      <c r="Q463" s="98">
        <v>0</v>
      </c>
      <c r="R463" s="117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H463" s="83"/>
      <c r="AI463" s="83"/>
    </row>
    <row r="464" spans="2:59" s="62" customFormat="1" outlineLevel="1" x14ac:dyDescent="0.25">
      <c r="D464" s="99"/>
      <c r="E464" s="99"/>
      <c r="F464" s="98">
        <v>0</v>
      </c>
      <c r="G464" s="98">
        <v>0</v>
      </c>
      <c r="H464" s="98">
        <v>0</v>
      </c>
      <c r="I464" s="98">
        <v>0</v>
      </c>
      <c r="J464" s="98">
        <v>0</v>
      </c>
      <c r="K464" s="98">
        <v>0</v>
      </c>
      <c r="L464" s="98">
        <v>0</v>
      </c>
      <c r="M464" s="98">
        <v>0</v>
      </c>
      <c r="N464" s="98">
        <v>0</v>
      </c>
      <c r="O464" s="98">
        <v>0</v>
      </c>
      <c r="P464" s="98">
        <v>0</v>
      </c>
      <c r="Q464" s="98">
        <v>0</v>
      </c>
      <c r="R464" s="117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H464" s="83"/>
      <c r="AI464" s="83"/>
    </row>
    <row r="465" spans="1:35" s="62" customFormat="1" outlineLevel="1" x14ac:dyDescent="0.25">
      <c r="D465" s="99"/>
      <c r="E465" s="99"/>
      <c r="F465" s="98">
        <v>0</v>
      </c>
      <c r="G465" s="98">
        <v>0</v>
      </c>
      <c r="H465" s="98">
        <v>0</v>
      </c>
      <c r="I465" s="98">
        <v>0</v>
      </c>
      <c r="J465" s="98">
        <v>0</v>
      </c>
      <c r="K465" s="98">
        <v>0</v>
      </c>
      <c r="L465" s="98">
        <v>0</v>
      </c>
      <c r="M465" s="98">
        <v>0</v>
      </c>
      <c r="N465" s="98">
        <v>0</v>
      </c>
      <c r="O465" s="98">
        <v>0</v>
      </c>
      <c r="P465" s="98">
        <v>0</v>
      </c>
      <c r="Q465" s="98">
        <v>0</v>
      </c>
      <c r="R465" s="117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H465" s="83"/>
      <c r="AI465" s="83"/>
    </row>
    <row r="466" spans="1:35" s="62" customFormat="1" outlineLevel="1" x14ac:dyDescent="0.25">
      <c r="D466" s="99"/>
      <c r="E466" s="99"/>
      <c r="F466" s="98">
        <v>0</v>
      </c>
      <c r="G466" s="98">
        <v>0</v>
      </c>
      <c r="H466" s="98">
        <v>0</v>
      </c>
      <c r="I466" s="98">
        <v>0</v>
      </c>
      <c r="J466" s="98">
        <v>0</v>
      </c>
      <c r="K466" s="98">
        <v>0</v>
      </c>
      <c r="L466" s="98">
        <v>0</v>
      </c>
      <c r="M466" s="98">
        <v>0</v>
      </c>
      <c r="N466" s="98">
        <v>0</v>
      </c>
      <c r="O466" s="98">
        <v>0</v>
      </c>
      <c r="P466" s="98">
        <v>0</v>
      </c>
      <c r="Q466" s="98">
        <v>0</v>
      </c>
      <c r="R466" s="117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H466" s="83"/>
      <c r="AI466" s="83"/>
    </row>
    <row r="467" spans="1:35" s="62" customFormat="1" outlineLevel="1" x14ac:dyDescent="0.25">
      <c r="D467" s="99"/>
      <c r="E467" s="99"/>
      <c r="F467" s="98">
        <v>0</v>
      </c>
      <c r="G467" s="98">
        <v>0</v>
      </c>
      <c r="H467" s="98">
        <v>0</v>
      </c>
      <c r="I467" s="98">
        <v>0</v>
      </c>
      <c r="J467" s="98">
        <v>0</v>
      </c>
      <c r="K467" s="98">
        <v>0</v>
      </c>
      <c r="L467" s="98">
        <v>0</v>
      </c>
      <c r="M467" s="98">
        <v>0</v>
      </c>
      <c r="N467" s="98">
        <v>0</v>
      </c>
      <c r="O467" s="98">
        <v>0</v>
      </c>
      <c r="P467" s="98">
        <v>0</v>
      </c>
      <c r="Q467" s="98">
        <v>0</v>
      </c>
      <c r="R467" s="117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H467" s="83"/>
      <c r="AI467" s="83"/>
    </row>
    <row r="468" spans="1:35" s="62" customFormat="1" outlineLevel="1" x14ac:dyDescent="0.25">
      <c r="D468" s="99"/>
      <c r="E468" s="99"/>
      <c r="F468" s="100">
        <f>SUM(F456:F467)</f>
        <v>0</v>
      </c>
      <c r="G468" s="100">
        <f t="shared" ref="G468:Q468" si="220">SUM(G456:G467)</f>
        <v>0</v>
      </c>
      <c r="H468" s="100">
        <f t="shared" si="220"/>
        <v>0</v>
      </c>
      <c r="I468" s="100">
        <f t="shared" si="220"/>
        <v>0</v>
      </c>
      <c r="J468" s="100">
        <f t="shared" si="220"/>
        <v>0</v>
      </c>
      <c r="K468" s="100">
        <f t="shared" si="220"/>
        <v>0</v>
      </c>
      <c r="L468" s="100">
        <f t="shared" si="220"/>
        <v>0</v>
      </c>
      <c r="M468" s="100">
        <f t="shared" si="220"/>
        <v>0</v>
      </c>
      <c r="N468" s="100">
        <f t="shared" si="220"/>
        <v>0</v>
      </c>
      <c r="O468" s="100">
        <f t="shared" si="220"/>
        <v>0</v>
      </c>
      <c r="P468" s="100">
        <f t="shared" si="220"/>
        <v>0</v>
      </c>
      <c r="Q468" s="100">
        <f t="shared" si="220"/>
        <v>0</v>
      </c>
      <c r="R468" s="117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H468" s="83"/>
      <c r="AI468" s="83"/>
    </row>
    <row r="469" spans="1:35" s="62" customFormat="1" x14ac:dyDescent="0.25">
      <c r="D469" s="99"/>
      <c r="E469" s="99"/>
      <c r="F469" s="91">
        <f>+F454-F468</f>
        <v>3614957.8200000003</v>
      </c>
      <c r="G469" s="91">
        <f t="shared" ref="G469:Q469" si="221">+G454-G468</f>
        <v>3529189.27</v>
      </c>
      <c r="H469" s="91">
        <f>+H454-H468</f>
        <v>3592207.1950000008</v>
      </c>
      <c r="I469" s="91">
        <f t="shared" si="221"/>
        <v>3477958.0249999999</v>
      </c>
      <c r="J469" s="91">
        <f t="shared" si="221"/>
        <v>3495533.9799999995</v>
      </c>
      <c r="K469" s="91">
        <f t="shared" si="221"/>
        <v>3634335.895</v>
      </c>
      <c r="L469" s="91">
        <f t="shared" si="221"/>
        <v>3650830.1750000007</v>
      </c>
      <c r="M469" s="91">
        <f t="shared" si="221"/>
        <v>3633825.2949999995</v>
      </c>
      <c r="N469" s="91">
        <f t="shared" si="221"/>
        <v>3710302.0900000008</v>
      </c>
      <c r="O469" s="91">
        <f t="shared" si="221"/>
        <v>3710991.75</v>
      </c>
      <c r="P469" s="91">
        <f t="shared" si="221"/>
        <v>3673468.1999999997</v>
      </c>
      <c r="Q469" s="91">
        <f t="shared" si="221"/>
        <v>3743978.96</v>
      </c>
      <c r="R469" s="117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H469" s="83"/>
      <c r="AI469" s="83"/>
    </row>
    <row r="470" spans="1:35" s="62" customFormat="1" x14ac:dyDescent="0.25">
      <c r="D470" s="99"/>
      <c r="E470" s="99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83"/>
      <c r="Q470" s="83"/>
      <c r="R470" s="117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H470" s="83"/>
      <c r="AI470" s="83"/>
    </row>
    <row r="471" spans="1:35" s="62" customFormat="1" x14ac:dyDescent="0.25">
      <c r="P471" s="83"/>
      <c r="Q471" s="83"/>
      <c r="R471" s="117"/>
      <c r="AH471" s="83"/>
      <c r="AI471" s="83"/>
    </row>
    <row r="472" spans="1:35" s="62" customFormat="1" outlineLevel="1" x14ac:dyDescent="0.25">
      <c r="B472" s="76" t="s">
        <v>1340</v>
      </c>
      <c r="P472" s="83"/>
      <c r="Q472" s="83"/>
      <c r="R472" s="117"/>
      <c r="AH472" s="83"/>
      <c r="AI472" s="83"/>
    </row>
    <row r="473" spans="1:35" s="62" customFormat="1" outlineLevel="1" x14ac:dyDescent="0.25">
      <c r="A473" s="62" t="str">
        <f t="shared" ref="A473" si="222">+$A$4&amp;$A$9&amp;B473</f>
        <v>MURREYSRESIDENTIALRECYCLECR</v>
      </c>
      <c r="B473" s="81" t="s">
        <v>1341</v>
      </c>
      <c r="C473" s="81" t="s">
        <v>1342</v>
      </c>
      <c r="D473" s="82">
        <v>1.83</v>
      </c>
      <c r="E473" s="82">
        <v>2.0699999999999998</v>
      </c>
      <c r="F473" s="83">
        <v>108826.36000000003</v>
      </c>
      <c r="G473" s="83">
        <v>112521.52500000001</v>
      </c>
      <c r="H473" s="83">
        <v>120680.24999999999</v>
      </c>
      <c r="I473" s="83">
        <v>124813.51000000001</v>
      </c>
      <c r="J473" s="83">
        <v>124774.35999999999</v>
      </c>
      <c r="K473" s="83">
        <v>126115.545</v>
      </c>
      <c r="L473" s="83">
        <v>126493.31999999999</v>
      </c>
      <c r="M473" s="83">
        <v>126951.03</v>
      </c>
      <c r="N473" s="83">
        <v>127263.63</v>
      </c>
      <c r="O473" s="83">
        <v>127664.07999999999</v>
      </c>
      <c r="P473" s="83">
        <v>127754.40500000003</v>
      </c>
      <c r="Q473" s="83">
        <v>128191.51</v>
      </c>
      <c r="S473" s="83">
        <f t="shared" ref="S473:T475" si="223">+IFERROR(F473/$S484,0)</f>
        <v>31452.705202312147</v>
      </c>
      <c r="T473" s="83">
        <f t="shared" si="223"/>
        <v>32520.671965317921</v>
      </c>
      <c r="U473" s="83">
        <f t="shared" ref="U473:Z475" si="224">+IFERROR(H473/$D473,0)</f>
        <v>65945.491803278681</v>
      </c>
      <c r="V473" s="83">
        <f t="shared" si="224"/>
        <v>68204.103825136612</v>
      </c>
      <c r="W473" s="83">
        <f t="shared" si="224"/>
        <v>68182.710382513644</v>
      </c>
      <c r="X473" s="83">
        <f t="shared" si="224"/>
        <v>68915.598360655727</v>
      </c>
      <c r="Y473" s="83">
        <f t="shared" si="224"/>
        <v>69122.032786885233</v>
      </c>
      <c r="Z473" s="83">
        <f t="shared" si="224"/>
        <v>69372.147540983598</v>
      </c>
      <c r="AA473" s="83">
        <f>+IFERROR(N473/$E473,0)</f>
        <v>61480.014492753631</v>
      </c>
      <c r="AB473" s="83">
        <f t="shared" ref="AB473:AD475" si="225">+IFERROR(O473/$E473,0)</f>
        <v>61673.468599033818</v>
      </c>
      <c r="AC473" s="83">
        <f t="shared" si="225"/>
        <v>61717.103864734316</v>
      </c>
      <c r="AD473" s="83">
        <f t="shared" si="225"/>
        <v>61928.265700483091</v>
      </c>
      <c r="AE473" s="83"/>
      <c r="AF473" s="83"/>
      <c r="AH473" s="83"/>
      <c r="AI473" s="83"/>
    </row>
    <row r="474" spans="1:35" s="62" customFormat="1" outlineLevel="1" x14ac:dyDescent="0.25">
      <c r="A474" s="62" t="str">
        <f>+$A$4&amp;$A$247&amp;B474</f>
        <v>MURREYSMULTI-FAMILYMRECYCRCANS</v>
      </c>
      <c r="B474" s="81" t="s">
        <v>1343</v>
      </c>
      <c r="C474" s="81" t="s">
        <v>1342</v>
      </c>
      <c r="D474" s="82">
        <v>1.83</v>
      </c>
      <c r="E474" s="82">
        <v>2.0699999999999998</v>
      </c>
      <c r="F474" s="83">
        <v>3629.0399999999995</v>
      </c>
      <c r="G474" s="83">
        <v>3736.92</v>
      </c>
      <c r="H474" s="83">
        <v>4276.92</v>
      </c>
      <c r="I474" s="83">
        <v>4317.01</v>
      </c>
      <c r="J474" s="83">
        <v>4342.3499999999995</v>
      </c>
      <c r="K474" s="83">
        <v>4329.5</v>
      </c>
      <c r="L474" s="83">
        <v>4385.38</v>
      </c>
      <c r="M474" s="83">
        <v>4407.57</v>
      </c>
      <c r="N474" s="83">
        <v>4431.41</v>
      </c>
      <c r="O474" s="83">
        <v>4456.2900000000009</v>
      </c>
      <c r="P474" s="83">
        <v>4468.66</v>
      </c>
      <c r="Q474" s="83">
        <v>4501.29</v>
      </c>
      <c r="R474" s="117"/>
      <c r="S474" s="83">
        <f t="shared" si="223"/>
        <v>1048.8554913294797</v>
      </c>
      <c r="T474" s="83">
        <f t="shared" si="223"/>
        <v>1080.034682080925</v>
      </c>
      <c r="U474" s="83">
        <f t="shared" si="224"/>
        <v>2337.1147540983607</v>
      </c>
      <c r="V474" s="83">
        <f t="shared" si="224"/>
        <v>2359.0218579234975</v>
      </c>
      <c r="W474" s="83">
        <f t="shared" si="224"/>
        <v>2372.8688524590161</v>
      </c>
      <c r="X474" s="83">
        <f t="shared" si="224"/>
        <v>2365.8469945355191</v>
      </c>
      <c r="Y474" s="83">
        <f t="shared" si="224"/>
        <v>2396.3825136612022</v>
      </c>
      <c r="Z474" s="83">
        <f t="shared" si="224"/>
        <v>2408.5081967213114</v>
      </c>
      <c r="AA474" s="83">
        <f>+IFERROR(N474/$E474,0)</f>
        <v>2140.7777777777778</v>
      </c>
      <c r="AB474" s="83">
        <f t="shared" si="225"/>
        <v>2152.7971014492759</v>
      </c>
      <c r="AC474" s="83">
        <f t="shared" si="225"/>
        <v>2158.7729468599036</v>
      </c>
      <c r="AD474" s="83">
        <f t="shared" si="225"/>
        <v>2174.536231884058</v>
      </c>
      <c r="AE474" s="83"/>
      <c r="AF474" s="83"/>
      <c r="AH474" s="83"/>
      <c r="AI474" s="83"/>
    </row>
    <row r="475" spans="1:35" s="62" customFormat="1" outlineLevel="1" x14ac:dyDescent="0.25">
      <c r="A475" s="62" t="str">
        <f>+$A$4&amp;$A$247&amp;B475</f>
        <v>MURREYSMULTI-FAMILYMRECYCRCONT</v>
      </c>
      <c r="B475" s="81" t="s">
        <v>1344</v>
      </c>
      <c r="C475" s="81" t="s">
        <v>1342</v>
      </c>
      <c r="D475" s="82">
        <v>0.89</v>
      </c>
      <c r="E475" s="82">
        <v>4.68</v>
      </c>
      <c r="F475" s="83">
        <v>7185.5</v>
      </c>
      <c r="G475" s="83">
        <v>6982.05</v>
      </c>
      <c r="H475" s="83">
        <v>8611.35</v>
      </c>
      <c r="I475" s="83">
        <v>8561.9499999999989</v>
      </c>
      <c r="J475" s="83">
        <v>8626.09</v>
      </c>
      <c r="K475" s="83">
        <v>8561.4</v>
      </c>
      <c r="L475" s="83">
        <v>8568.76</v>
      </c>
      <c r="M475" s="83">
        <v>8642.4599999999991</v>
      </c>
      <c r="N475" s="83">
        <v>8727.26</v>
      </c>
      <c r="O475" s="83">
        <v>8892.2099999999991</v>
      </c>
      <c r="P475" s="83">
        <v>8936.4600000000009</v>
      </c>
      <c r="Q475" s="83">
        <v>8870.2199999999993</v>
      </c>
      <c r="R475" s="117"/>
      <c r="S475" s="83">
        <f t="shared" si="223"/>
        <v>4606.0897435897432</v>
      </c>
      <c r="T475" s="83">
        <f t="shared" si="223"/>
        <v>4475.6730769230771</v>
      </c>
      <c r="U475" s="83">
        <f t="shared" si="224"/>
        <v>9675.6741573033705</v>
      </c>
      <c r="V475" s="83">
        <f t="shared" si="224"/>
        <v>9620.1685393258413</v>
      </c>
      <c r="W475" s="83">
        <f t="shared" si="224"/>
        <v>9692.2359550561796</v>
      </c>
      <c r="X475" s="83">
        <f t="shared" si="224"/>
        <v>9619.5505617977524</v>
      </c>
      <c r="Y475" s="83">
        <f t="shared" si="224"/>
        <v>9627.820224719102</v>
      </c>
      <c r="Z475" s="83">
        <f t="shared" si="224"/>
        <v>9710.6292134831456</v>
      </c>
      <c r="AA475" s="83">
        <f>+IFERROR(N475/$E475,0)</f>
        <v>1864.7991452991455</v>
      </c>
      <c r="AB475" s="83">
        <f t="shared" si="225"/>
        <v>1900.0448717948718</v>
      </c>
      <c r="AC475" s="83">
        <f t="shared" si="225"/>
        <v>1909.5000000000002</v>
      </c>
      <c r="AD475" s="83">
        <f t="shared" si="225"/>
        <v>1895.3461538461538</v>
      </c>
      <c r="AE475" s="83"/>
      <c r="AF475" s="83"/>
      <c r="AH475" s="83"/>
      <c r="AI475" s="83"/>
    </row>
    <row r="476" spans="1:35" outlineLevel="1" x14ac:dyDescent="0.25">
      <c r="P476" s="84"/>
      <c r="Q476" s="84"/>
      <c r="S476" s="63"/>
      <c r="AH476" s="84"/>
      <c r="AI476" s="84"/>
    </row>
    <row r="477" spans="1:35" x14ac:dyDescent="0.25">
      <c r="C477" s="85" t="s">
        <v>1345</v>
      </c>
      <c r="F477" s="86">
        <f>+SUM(F473:F476)</f>
        <v>119640.90000000002</v>
      </c>
      <c r="G477" s="86">
        <f t="shared" ref="G477:AD477" si="226">+SUM(G473:G476)</f>
        <v>123240.49500000001</v>
      </c>
      <c r="H477" s="86">
        <f t="shared" si="226"/>
        <v>133568.51999999999</v>
      </c>
      <c r="I477" s="86">
        <f t="shared" si="226"/>
        <v>137692.47</v>
      </c>
      <c r="J477" s="86">
        <f t="shared" si="226"/>
        <v>137742.79999999999</v>
      </c>
      <c r="K477" s="86">
        <f t="shared" si="226"/>
        <v>139006.44500000001</v>
      </c>
      <c r="L477" s="86">
        <f t="shared" si="226"/>
        <v>139447.46</v>
      </c>
      <c r="M477" s="86">
        <f t="shared" si="226"/>
        <v>140001.06</v>
      </c>
      <c r="N477" s="86">
        <f t="shared" si="226"/>
        <v>140422.30000000002</v>
      </c>
      <c r="O477" s="86">
        <f t="shared" si="226"/>
        <v>141012.57999999999</v>
      </c>
      <c r="P477" s="86">
        <f t="shared" si="226"/>
        <v>141159.52500000002</v>
      </c>
      <c r="Q477" s="86">
        <f t="shared" si="226"/>
        <v>141563.01999999999</v>
      </c>
      <c r="S477" s="86">
        <f t="shared" si="226"/>
        <v>37107.650437231372</v>
      </c>
      <c r="T477" s="86">
        <f t="shared" si="226"/>
        <v>38076.379724321923</v>
      </c>
      <c r="U477" s="86">
        <f t="shared" si="226"/>
        <v>77958.280714680412</v>
      </c>
      <c r="V477" s="86">
        <f t="shared" si="226"/>
        <v>80183.294222385943</v>
      </c>
      <c r="W477" s="86">
        <f t="shared" si="226"/>
        <v>80247.815190028836</v>
      </c>
      <c r="X477" s="86">
        <f t="shared" si="226"/>
        <v>80900.995916988992</v>
      </c>
      <c r="Y477" s="86">
        <f t="shared" si="226"/>
        <v>81146.23552526554</v>
      </c>
      <c r="Z477" s="86">
        <f t="shared" si="226"/>
        <v>81491.284951188049</v>
      </c>
      <c r="AA477" s="86">
        <f t="shared" si="226"/>
        <v>65485.59141583056</v>
      </c>
      <c r="AB477" s="86">
        <f t="shared" si="226"/>
        <v>65726.310572277973</v>
      </c>
      <c r="AC477" s="86">
        <f t="shared" si="226"/>
        <v>65785.376811594222</v>
      </c>
      <c r="AD477" s="86">
        <f t="shared" si="226"/>
        <v>65998.148086213303</v>
      </c>
      <c r="AE477" s="87"/>
      <c r="AF477" s="87"/>
      <c r="AH477" s="84"/>
      <c r="AI477" s="84"/>
    </row>
    <row r="478" spans="1:35" x14ac:dyDescent="0.25">
      <c r="P478" s="84"/>
      <c r="Q478" s="84"/>
      <c r="S478" s="63"/>
    </row>
    <row r="479" spans="1:35" x14ac:dyDescent="0.25">
      <c r="E479" s="99" t="s">
        <v>1346</v>
      </c>
      <c r="F479" s="101">
        <f>$S$486*AN309</f>
        <v>12419.148353948296</v>
      </c>
      <c r="G479" s="101">
        <f>$S$486*AO309</f>
        <v>12414.519467540622</v>
      </c>
      <c r="H479" s="101">
        <f t="shared" ref="H479:M479" si="227">$D$475*AP309</f>
        <v>7168.5120677662526</v>
      </c>
      <c r="I479" s="101">
        <f t="shared" si="227"/>
        <v>7089.9932840197807</v>
      </c>
      <c r="J479" s="101">
        <f t="shared" si="227"/>
        <v>7118.0407936164529</v>
      </c>
      <c r="K479" s="101">
        <f t="shared" si="227"/>
        <v>7072.2988512081092</v>
      </c>
      <c r="L479" s="101">
        <f t="shared" si="227"/>
        <v>7126.6697744338844</v>
      </c>
      <c r="M479" s="101">
        <f t="shared" si="227"/>
        <v>7184.1672816974806</v>
      </c>
      <c r="N479" s="101">
        <f>$E$475*AV309</f>
        <v>38118.391730028045</v>
      </c>
      <c r="O479" s="101">
        <f>$E$475*AW309</f>
        <v>38564.892926853958</v>
      </c>
      <c r="P479" s="101">
        <f>$E$475*AX309</f>
        <v>38739.751280964731</v>
      </c>
      <c r="Q479" s="101">
        <f>$E$475*AY309</f>
        <v>38682.50705256121</v>
      </c>
      <c r="S479" s="92" t="e">
        <f>S473+#REF!</f>
        <v>#REF!</v>
      </c>
      <c r="T479" s="92" t="e">
        <f>T473+#REF!</f>
        <v>#REF!</v>
      </c>
      <c r="U479" s="92" t="e">
        <f>U473+#REF!</f>
        <v>#REF!</v>
      </c>
      <c r="V479" s="92" t="e">
        <f>V473+#REF!</f>
        <v>#REF!</v>
      </c>
      <c r="W479" s="92" t="e">
        <f>W473+#REF!</f>
        <v>#REF!</v>
      </c>
      <c r="X479" s="92" t="e">
        <f>X473+#REF!</f>
        <v>#REF!</v>
      </c>
      <c r="Y479" s="92" t="e">
        <f>Y473+#REF!</f>
        <v>#REF!</v>
      </c>
      <c r="Z479" s="92" t="e">
        <f>Z473+#REF!</f>
        <v>#REF!</v>
      </c>
      <c r="AA479" s="92" t="e">
        <f>AA473+#REF!</f>
        <v>#REF!</v>
      </c>
      <c r="AB479" s="92" t="e">
        <f>AB473+#REF!</f>
        <v>#REF!</v>
      </c>
      <c r="AC479" s="92" t="e">
        <f>AC473+#REF!</f>
        <v>#REF!</v>
      </c>
      <c r="AD479" s="92" t="e">
        <f>AD473+#REF!</f>
        <v>#REF!</v>
      </c>
    </row>
    <row r="480" spans="1:35" x14ac:dyDescent="0.25">
      <c r="E480" s="99" t="s">
        <v>1347</v>
      </c>
      <c r="F480" s="101">
        <f>F475-F479</f>
        <v>-5233.6483539482961</v>
      </c>
      <c r="G480" s="101">
        <f>G475-G479</f>
        <v>-5432.4694675406217</v>
      </c>
      <c r="H480" s="101">
        <f t="shared" ref="H480:Q480" si="228">H475-H479</f>
        <v>1442.8379322337478</v>
      </c>
      <c r="I480" s="101">
        <f t="shared" si="228"/>
        <v>1471.9567159802182</v>
      </c>
      <c r="J480" s="101">
        <f t="shared" si="228"/>
        <v>1508.0492063835472</v>
      </c>
      <c r="K480" s="101">
        <f t="shared" si="228"/>
        <v>1489.1011487918904</v>
      </c>
      <c r="L480" s="101">
        <f t="shared" si="228"/>
        <v>1442.0902255661158</v>
      </c>
      <c r="M480" s="101">
        <f t="shared" si="228"/>
        <v>1458.2927183025186</v>
      </c>
      <c r="N480" s="101">
        <f t="shared" si="228"/>
        <v>-29391.131730028043</v>
      </c>
      <c r="O480" s="101">
        <f t="shared" si="228"/>
        <v>-29672.682926853959</v>
      </c>
      <c r="P480" s="101">
        <f t="shared" si="228"/>
        <v>-29803.291280964731</v>
      </c>
      <c r="Q480" s="101">
        <f t="shared" si="228"/>
        <v>-29812.287052561209</v>
      </c>
      <c r="S480" s="92" t="e">
        <f>S474+#REF!</f>
        <v>#REF!</v>
      </c>
      <c r="T480" s="92" t="e">
        <f>T474+#REF!</f>
        <v>#REF!</v>
      </c>
      <c r="U480" s="92" t="e">
        <f>U474+#REF!</f>
        <v>#REF!</v>
      </c>
      <c r="V480" s="92" t="e">
        <f>V474+#REF!</f>
        <v>#REF!</v>
      </c>
      <c r="W480" s="92" t="e">
        <f>W474+#REF!</f>
        <v>#REF!</v>
      </c>
      <c r="X480" s="92" t="e">
        <f>X474+#REF!</f>
        <v>#REF!</v>
      </c>
      <c r="Y480" s="92" t="e">
        <f>Y474+#REF!</f>
        <v>#REF!</v>
      </c>
      <c r="Z480" s="92" t="e">
        <f>Z474+#REF!</f>
        <v>#REF!</v>
      </c>
      <c r="AA480" s="92" t="e">
        <f>AA474+#REF!</f>
        <v>#REF!</v>
      </c>
      <c r="AB480" s="92" t="e">
        <f>AB474+#REF!</f>
        <v>#REF!</v>
      </c>
      <c r="AC480" s="92" t="e">
        <f>AC474+#REF!</f>
        <v>#REF!</v>
      </c>
      <c r="AD480" s="92" t="e">
        <f>AD474+#REF!</f>
        <v>#REF!</v>
      </c>
    </row>
    <row r="481" spans="6:30" x14ac:dyDescent="0.25">
      <c r="F481" s="101">
        <f>F480/8000</f>
        <v>-0.65420604424353701</v>
      </c>
      <c r="P481" s="84"/>
      <c r="Q481" s="84"/>
      <c r="S481" s="92" t="e">
        <f>S475+#REF!</f>
        <v>#REF!</v>
      </c>
      <c r="T481" s="92" t="e">
        <f>T475+#REF!</f>
        <v>#REF!</v>
      </c>
      <c r="U481" s="92" t="e">
        <f>U475+#REF!</f>
        <v>#REF!</v>
      </c>
      <c r="V481" s="92" t="e">
        <f>V475+#REF!</f>
        <v>#REF!</v>
      </c>
      <c r="W481" s="92" t="e">
        <f>W475+#REF!</f>
        <v>#REF!</v>
      </c>
      <c r="X481" s="92" t="e">
        <f>X475+#REF!</f>
        <v>#REF!</v>
      </c>
      <c r="Y481" s="92" t="e">
        <f>Y475+#REF!</f>
        <v>#REF!</v>
      </c>
      <c r="Z481" s="92" t="e">
        <f>Z475+#REF!</f>
        <v>#REF!</v>
      </c>
      <c r="AA481" s="92" t="e">
        <f>AA475+#REF!</f>
        <v>#REF!</v>
      </c>
      <c r="AB481" s="92" t="e">
        <f>AB475+#REF!</f>
        <v>#REF!</v>
      </c>
      <c r="AC481" s="92" t="e">
        <f>AC475+#REF!</f>
        <v>#REF!</v>
      </c>
      <c r="AD481" s="92" t="e">
        <f>AD475+#REF!</f>
        <v>#REF!</v>
      </c>
    </row>
    <row r="482" spans="6:30" x14ac:dyDescent="0.25">
      <c r="P482" s="84"/>
      <c r="Q482" s="84"/>
      <c r="S482" s="63"/>
    </row>
    <row r="483" spans="6:30" x14ac:dyDescent="0.25">
      <c r="P483" s="84"/>
      <c r="Q483" s="84"/>
      <c r="S483" s="63"/>
    </row>
    <row r="484" spans="6:30" x14ac:dyDescent="0.25">
      <c r="P484" s="84"/>
      <c r="Q484" s="84"/>
      <c r="R484" s="102" t="s">
        <v>1348</v>
      </c>
      <c r="S484" s="63">
        <v>3.46</v>
      </c>
    </row>
    <row r="485" spans="6:30" x14ac:dyDescent="0.25">
      <c r="P485" s="84"/>
      <c r="Q485" s="84"/>
      <c r="R485" s="102" t="s">
        <v>1348</v>
      </c>
      <c r="S485" s="63">
        <v>3.46</v>
      </c>
    </row>
    <row r="486" spans="6:30" x14ac:dyDescent="0.25">
      <c r="P486" s="84"/>
      <c r="Q486" s="84"/>
      <c r="R486" s="102" t="s">
        <v>1348</v>
      </c>
      <c r="S486" s="63">
        <v>1.56</v>
      </c>
    </row>
    <row r="487" spans="6:30" x14ac:dyDescent="0.25">
      <c r="P487" s="84"/>
      <c r="Q487" s="84"/>
      <c r="S487" s="63"/>
    </row>
    <row r="488" spans="6:30" x14ac:dyDescent="0.25">
      <c r="P488" s="84"/>
      <c r="Q488" s="84"/>
      <c r="S488" s="63"/>
    </row>
    <row r="489" spans="6:30" x14ac:dyDescent="0.25">
      <c r="P489" s="84"/>
      <c r="Q489" s="84"/>
      <c r="S489" s="63"/>
    </row>
    <row r="490" spans="6:30" x14ac:dyDescent="0.25">
      <c r="P490" s="84"/>
      <c r="Q490" s="84"/>
      <c r="S490" s="63"/>
    </row>
    <row r="491" spans="6:30" x14ac:dyDescent="0.25">
      <c r="S491" s="63"/>
    </row>
    <row r="492" spans="6:30" x14ac:dyDescent="0.25">
      <c r="S492" s="63"/>
    </row>
    <row r="493" spans="6:30" x14ac:dyDescent="0.25">
      <c r="S493" s="63"/>
    </row>
    <row r="494" spans="6:30" x14ac:dyDescent="0.25">
      <c r="S494" s="63"/>
    </row>
    <row r="495" spans="6:30" x14ac:dyDescent="0.25">
      <c r="S495" s="63"/>
    </row>
    <row r="496" spans="6:30" x14ac:dyDescent="0.25">
      <c r="S496" s="63"/>
    </row>
    <row r="497" spans="19:19" x14ac:dyDescent="0.25">
      <c r="S497" s="63"/>
    </row>
    <row r="498" spans="19:19" x14ac:dyDescent="0.25">
      <c r="S498" s="63"/>
    </row>
    <row r="499" spans="19:19" x14ac:dyDescent="0.25">
      <c r="S499" s="63"/>
    </row>
    <row r="500" spans="19:19" x14ac:dyDescent="0.25">
      <c r="S500" s="63"/>
    </row>
    <row r="501" spans="19:19" x14ac:dyDescent="0.25">
      <c r="S501" s="63"/>
    </row>
    <row r="502" spans="19:19" x14ac:dyDescent="0.25">
      <c r="S502" s="63"/>
    </row>
    <row r="503" spans="19:19" x14ac:dyDescent="0.25">
      <c r="S503" s="63"/>
    </row>
    <row r="504" spans="19:19" x14ac:dyDescent="0.25">
      <c r="S504" s="63"/>
    </row>
    <row r="505" spans="19:19" x14ac:dyDescent="0.25">
      <c r="S505" s="63"/>
    </row>
    <row r="506" spans="19:19" x14ac:dyDescent="0.25">
      <c r="S506" s="63"/>
    </row>
    <row r="507" spans="19:19" x14ac:dyDescent="0.25">
      <c r="S507" s="63"/>
    </row>
    <row r="508" spans="19:19" x14ac:dyDescent="0.25">
      <c r="S508" s="63"/>
    </row>
    <row r="509" spans="19:19" x14ac:dyDescent="0.25">
      <c r="S509" s="63"/>
    </row>
    <row r="510" spans="19:19" x14ac:dyDescent="0.25">
      <c r="S510" s="63"/>
    </row>
    <row r="511" spans="19:19" x14ac:dyDescent="0.25">
      <c r="S511" s="63"/>
    </row>
    <row r="512" spans="19:19" x14ac:dyDescent="0.25">
      <c r="S512" s="63"/>
    </row>
    <row r="513" spans="19:19" x14ac:dyDescent="0.25">
      <c r="S513" s="63"/>
    </row>
    <row r="514" spans="19:19" x14ac:dyDescent="0.25">
      <c r="S514" s="63"/>
    </row>
    <row r="515" spans="19:19" x14ac:dyDescent="0.25">
      <c r="S515" s="63"/>
    </row>
  </sheetData>
  <mergeCells count="3">
    <mergeCell ref="F4:Q4"/>
    <mergeCell ref="AH4:AI4"/>
    <mergeCell ref="AN4:AZ4"/>
  </mergeCells>
  <pageMargins left="0.7" right="0.7" top="0.75" bottom="0.75" header="0.3" footer="0.3"/>
  <pageSetup scale="55" pageOrder="overThenDown" orientation="landscape" r:id="rId1"/>
  <headerFooter>
    <oddHeader>&amp;R&amp;F
&amp;A</oddHeader>
    <oddFooter>&amp;L&amp;D&amp;C&amp;P&amp;R&amp;T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J630"/>
  <sheetViews>
    <sheetView view="pageBreakPreview" zoomScale="115" zoomScaleNormal="85" zoomScaleSheetLayoutView="115" workbookViewId="0">
      <pane ySplit="7" topLeftCell="A61" activePane="bottomLeft" state="frozen"/>
      <selection activeCell="A548" activeCellId="1" sqref="A551:G853 A9:O548"/>
      <selection pane="bottomLeft" activeCell="A548" activeCellId="1" sqref="A551:G853 A9:O548"/>
    </sheetView>
  </sheetViews>
  <sheetFormatPr defaultRowHeight="15" x14ac:dyDescent="0.25"/>
  <cols>
    <col min="1" max="1" width="38.85546875" style="140" bestFit="1" customWidth="1"/>
    <col min="2" max="2" width="12.85546875" style="140" bestFit="1" customWidth="1"/>
    <col min="3" max="3" width="16.140625" style="140" customWidth="1"/>
    <col min="4" max="4" width="13.7109375" style="140" customWidth="1"/>
    <col min="5" max="5" width="4.85546875" style="140" customWidth="1"/>
    <col min="6" max="6" width="13" style="140" customWidth="1"/>
    <col min="7" max="7" width="17.85546875" style="140" customWidth="1"/>
    <col min="8" max="16384" width="9.140625" style="140"/>
  </cols>
  <sheetData>
    <row r="1" spans="1:6" x14ac:dyDescent="0.25">
      <c r="A1" s="161" t="s">
        <v>527</v>
      </c>
      <c r="C1" s="369" t="s">
        <v>1526</v>
      </c>
      <c r="D1" s="369"/>
    </row>
    <row r="2" spans="1:6" x14ac:dyDescent="0.25">
      <c r="A2" s="161" t="s">
        <v>1525</v>
      </c>
      <c r="C2" s="162" t="s">
        <v>1524</v>
      </c>
      <c r="D2" s="164">
        <f>+'Murrey''s American G-9 Reg.'!BF4</f>
        <v>4.679904727647748E-3</v>
      </c>
    </row>
    <row r="3" spans="1:6" x14ac:dyDescent="0.25">
      <c r="A3" s="163" t="s">
        <v>1527</v>
      </c>
      <c r="C3" s="162" t="s">
        <v>1523</v>
      </c>
      <c r="D3" s="165">
        <f>+D2</f>
        <v>4.679904727647748E-3</v>
      </c>
    </row>
    <row r="4" spans="1:6" x14ac:dyDescent="0.25">
      <c r="A4" s="161"/>
      <c r="C4" s="162" t="s">
        <v>1471</v>
      </c>
      <c r="D4" s="165">
        <f>+D3</f>
        <v>4.679904727647748E-3</v>
      </c>
    </row>
    <row r="5" spans="1:6" x14ac:dyDescent="0.25">
      <c r="A5" s="161"/>
      <c r="D5" s="160"/>
    </row>
    <row r="6" spans="1:6" ht="15.75" thickBot="1" x14ac:dyDescent="0.3"/>
    <row r="7" spans="1:6" s="156" customFormat="1" ht="40.5" customHeight="1" thickBot="1" x14ac:dyDescent="0.3">
      <c r="A7" s="159"/>
      <c r="B7" s="158" t="s">
        <v>1522</v>
      </c>
      <c r="C7" s="158" t="s">
        <v>1521</v>
      </c>
      <c r="D7" s="157" t="s">
        <v>1520</v>
      </c>
    </row>
    <row r="8" spans="1:6" s="139" customFormat="1" x14ac:dyDescent="0.25"/>
    <row r="9" spans="1:6" x14ac:dyDescent="0.25">
      <c r="A9" s="147" t="s">
        <v>1519</v>
      </c>
      <c r="B9" s="146"/>
      <c r="C9" s="146"/>
      <c r="D9" s="146"/>
    </row>
    <row r="10" spans="1:6" x14ac:dyDescent="0.25">
      <c r="A10" s="149" t="s">
        <v>1518</v>
      </c>
      <c r="B10" s="141">
        <v>21.8</v>
      </c>
      <c r="C10" s="167"/>
      <c r="D10" s="141">
        <f>+SUM(B10:C10)</f>
        <v>21.8</v>
      </c>
      <c r="F10" s="154"/>
    </row>
    <row r="11" spans="1:6" x14ac:dyDescent="0.25">
      <c r="B11" s="141"/>
      <c r="C11" s="141"/>
      <c r="D11" s="141"/>
    </row>
    <row r="12" spans="1:6" x14ac:dyDescent="0.25">
      <c r="A12" s="147" t="s">
        <v>1517</v>
      </c>
      <c r="B12" s="146"/>
      <c r="C12" s="146"/>
      <c r="D12" s="146"/>
    </row>
    <row r="13" spans="1:6" x14ac:dyDescent="0.25">
      <c r="A13" s="149" t="s">
        <v>1516</v>
      </c>
      <c r="B13" s="167">
        <v>11.22</v>
      </c>
      <c r="C13" s="167">
        <f>+ROUND($D$2*B13,2)</f>
        <v>0.05</v>
      </c>
      <c r="D13" s="167">
        <f>+SUM(B13:C13)</f>
        <v>11.270000000000001</v>
      </c>
      <c r="F13" s="155"/>
    </row>
    <row r="14" spans="1:6" x14ac:dyDescent="0.25">
      <c r="B14" s="141"/>
      <c r="C14" s="141"/>
      <c r="D14" s="141"/>
    </row>
    <row r="15" spans="1:6" x14ac:dyDescent="0.25">
      <c r="A15" s="147" t="s">
        <v>1515</v>
      </c>
      <c r="B15" s="146"/>
      <c r="C15" s="146"/>
      <c r="D15" s="146"/>
    </row>
    <row r="16" spans="1:6" x14ac:dyDescent="0.25">
      <c r="A16" s="143" t="s">
        <v>1514</v>
      </c>
      <c r="B16" s="141"/>
      <c r="C16" s="141"/>
      <c r="D16" s="141"/>
    </row>
    <row r="17" spans="1:6" x14ac:dyDescent="0.25">
      <c r="A17" s="142" t="s">
        <v>1499</v>
      </c>
      <c r="B17" s="167" t="s">
        <v>1407</v>
      </c>
      <c r="C17" s="167"/>
      <c r="D17" s="167"/>
    </row>
    <row r="18" spans="1:6" x14ac:dyDescent="0.25">
      <c r="A18" s="142" t="s">
        <v>1513</v>
      </c>
      <c r="B18" s="167" t="s">
        <v>1407</v>
      </c>
      <c r="C18" s="167"/>
      <c r="D18" s="167"/>
    </row>
    <row r="19" spans="1:6" x14ac:dyDescent="0.25">
      <c r="A19" s="142" t="s">
        <v>1512</v>
      </c>
      <c r="B19" s="167">
        <v>22.53</v>
      </c>
      <c r="C19" s="167">
        <f>+ROUND($D$2*B19,2)</f>
        <v>0.11</v>
      </c>
      <c r="D19" s="167">
        <f>+SUM(B19:C19)</f>
        <v>22.64</v>
      </c>
    </row>
    <row r="20" spans="1:6" x14ac:dyDescent="0.25">
      <c r="A20" s="142" t="s">
        <v>1501</v>
      </c>
      <c r="B20" s="167">
        <v>42.63</v>
      </c>
      <c r="C20" s="167">
        <f>+ROUND($D$2*B20,2)</f>
        <v>0.2</v>
      </c>
      <c r="D20" s="167">
        <f>+SUM(B20:C20)</f>
        <v>42.830000000000005</v>
      </c>
    </row>
    <row r="21" spans="1:6" x14ac:dyDescent="0.25">
      <c r="B21" s="141"/>
      <c r="C21" s="141"/>
      <c r="D21" s="141"/>
    </row>
    <row r="22" spans="1:6" x14ac:dyDescent="0.25">
      <c r="A22" s="147" t="s">
        <v>1511</v>
      </c>
      <c r="B22" s="146"/>
      <c r="C22" s="146"/>
      <c r="D22" s="146"/>
    </row>
    <row r="23" spans="1:6" x14ac:dyDescent="0.25">
      <c r="A23" s="149" t="s">
        <v>1510</v>
      </c>
      <c r="B23" s="167" t="s">
        <v>1407</v>
      </c>
      <c r="C23" s="141"/>
      <c r="D23" s="141"/>
      <c r="F23" s="154"/>
    </row>
    <row r="24" spans="1:6" x14ac:dyDescent="0.25">
      <c r="B24" s="141"/>
      <c r="C24" s="141"/>
      <c r="D24" s="141"/>
    </row>
    <row r="25" spans="1:6" x14ac:dyDescent="0.25">
      <c r="A25" s="147" t="s">
        <v>1509</v>
      </c>
      <c r="B25" s="146"/>
      <c r="C25" s="146"/>
      <c r="D25" s="146"/>
    </row>
    <row r="26" spans="1:6" x14ac:dyDescent="0.25">
      <c r="A26" s="143" t="s">
        <v>1508</v>
      </c>
      <c r="B26" s="141"/>
      <c r="C26" s="141"/>
      <c r="D26" s="141"/>
    </row>
    <row r="27" spans="1:6" x14ac:dyDescent="0.25">
      <c r="A27" s="142" t="s">
        <v>1507</v>
      </c>
      <c r="B27" s="167">
        <v>76.31</v>
      </c>
      <c r="C27" s="167">
        <f>+ROUND($D$2*B27,2)</f>
        <v>0.36</v>
      </c>
      <c r="D27" s="167">
        <f>+SUM(B27:C27)</f>
        <v>76.67</v>
      </c>
    </row>
    <row r="28" spans="1:6" x14ac:dyDescent="0.25">
      <c r="A28" s="142" t="s">
        <v>1406</v>
      </c>
      <c r="B28" s="167">
        <v>76.31</v>
      </c>
      <c r="C28" s="167">
        <f>+ROUND($D$2*B28,2)</f>
        <v>0.36</v>
      </c>
      <c r="D28" s="167">
        <f>+SUM(B28:C28)</f>
        <v>76.67</v>
      </c>
    </row>
    <row r="29" spans="1:6" x14ac:dyDescent="0.25">
      <c r="B29" s="141"/>
      <c r="C29" s="141"/>
      <c r="D29" s="141"/>
    </row>
    <row r="30" spans="1:6" x14ac:dyDescent="0.25">
      <c r="A30" s="147" t="s">
        <v>1506</v>
      </c>
      <c r="B30" s="146"/>
      <c r="C30" s="146"/>
      <c r="D30" s="146"/>
    </row>
    <row r="31" spans="1:6" x14ac:dyDescent="0.25">
      <c r="A31" s="143" t="s">
        <v>1505</v>
      </c>
      <c r="B31" s="141"/>
      <c r="C31" s="141"/>
      <c r="D31" s="141"/>
    </row>
    <row r="32" spans="1:6" x14ac:dyDescent="0.25">
      <c r="A32" s="142" t="s">
        <v>1504</v>
      </c>
      <c r="B32" s="167">
        <v>8.99</v>
      </c>
      <c r="C32" s="167">
        <f t="shared" ref="C32:C37" si="0">+ROUND($D$2*B32,2)</f>
        <v>0.04</v>
      </c>
      <c r="D32" s="167">
        <f t="shared" ref="D32:D40" si="1">+SUM(B32:C32)</f>
        <v>9.0299999999999994</v>
      </c>
      <c r="E32" s="155"/>
    </row>
    <row r="33" spans="1:5" x14ac:dyDescent="0.25">
      <c r="A33" s="142" t="s">
        <v>1359</v>
      </c>
      <c r="B33" s="167">
        <v>16.91</v>
      </c>
      <c r="C33" s="167">
        <f t="shared" si="0"/>
        <v>0.08</v>
      </c>
      <c r="D33" s="167">
        <f t="shared" si="1"/>
        <v>16.989999999999998</v>
      </c>
      <c r="E33" s="155"/>
    </row>
    <row r="34" spans="1:5" x14ac:dyDescent="0.25">
      <c r="A34" s="142" t="s">
        <v>1503</v>
      </c>
      <c r="B34" s="167">
        <v>16.91</v>
      </c>
      <c r="C34" s="167">
        <f t="shared" si="0"/>
        <v>0.08</v>
      </c>
      <c r="D34" s="167">
        <f t="shared" si="1"/>
        <v>16.989999999999998</v>
      </c>
      <c r="E34" s="155"/>
    </row>
    <row r="35" spans="1:5" x14ac:dyDescent="0.25">
      <c r="A35" s="142" t="s">
        <v>1502</v>
      </c>
      <c r="B35" s="167">
        <v>16.91</v>
      </c>
      <c r="C35" s="167">
        <f t="shared" si="0"/>
        <v>0.08</v>
      </c>
      <c r="D35" s="167">
        <f t="shared" si="1"/>
        <v>16.989999999999998</v>
      </c>
      <c r="E35" s="155"/>
    </row>
    <row r="36" spans="1:5" x14ac:dyDescent="0.25">
      <c r="A36" s="142" t="s">
        <v>1427</v>
      </c>
      <c r="B36" s="167">
        <v>97.04</v>
      </c>
      <c r="C36" s="167">
        <f t="shared" si="0"/>
        <v>0.45</v>
      </c>
      <c r="D36" s="167">
        <f t="shared" si="1"/>
        <v>97.490000000000009</v>
      </c>
      <c r="E36" s="155"/>
    </row>
    <row r="37" spans="1:5" x14ac:dyDescent="0.25">
      <c r="A37" s="142" t="s">
        <v>1501</v>
      </c>
      <c r="B37" s="167">
        <v>16.8</v>
      </c>
      <c r="C37" s="167">
        <f t="shared" si="0"/>
        <v>0.08</v>
      </c>
      <c r="D37" s="167">
        <f t="shared" si="1"/>
        <v>16.88</v>
      </c>
      <c r="E37" s="155"/>
    </row>
    <row r="38" spans="1:5" x14ac:dyDescent="0.25">
      <c r="A38" s="142" t="s">
        <v>1500</v>
      </c>
      <c r="B38" s="167">
        <v>12.91</v>
      </c>
      <c r="C38" s="167">
        <f>+ROUND($D$3*B38,2)</f>
        <v>0.06</v>
      </c>
      <c r="D38" s="167">
        <f t="shared" si="1"/>
        <v>12.97</v>
      </c>
      <c r="E38" s="155"/>
    </row>
    <row r="39" spans="1:5" x14ac:dyDescent="0.25">
      <c r="A39" s="142" t="s">
        <v>1499</v>
      </c>
      <c r="B39" s="167">
        <v>11</v>
      </c>
      <c r="C39" s="167">
        <f>+ROUND($D$4*B39,2)</f>
        <v>0.05</v>
      </c>
      <c r="D39" s="167">
        <f t="shared" si="1"/>
        <v>11.05</v>
      </c>
      <c r="E39" s="155"/>
    </row>
    <row r="40" spans="1:5" x14ac:dyDescent="0.25">
      <c r="A40" s="142" t="s">
        <v>1498</v>
      </c>
      <c r="B40" s="167">
        <v>18.93</v>
      </c>
      <c r="C40" s="167">
        <f>+ROUND($D$3*B40,2)</f>
        <v>0.09</v>
      </c>
      <c r="D40" s="167">
        <f t="shared" si="1"/>
        <v>19.02</v>
      </c>
      <c r="E40" s="155"/>
    </row>
    <row r="41" spans="1:5" x14ac:dyDescent="0.25">
      <c r="B41" s="141"/>
      <c r="C41" s="141"/>
      <c r="D41" s="141"/>
    </row>
    <row r="42" spans="1:5" x14ac:dyDescent="0.25">
      <c r="A42" s="147" t="s">
        <v>1497</v>
      </c>
      <c r="B42" s="146"/>
      <c r="C42" s="146"/>
      <c r="D42" s="146"/>
    </row>
    <row r="43" spans="1:5" x14ac:dyDescent="0.25">
      <c r="A43" s="143" t="s">
        <v>1496</v>
      </c>
      <c r="B43" s="141"/>
      <c r="C43" s="141"/>
      <c r="D43" s="141"/>
    </row>
    <row r="44" spans="1:5" x14ac:dyDescent="0.25">
      <c r="A44" s="145" t="s">
        <v>1487</v>
      </c>
      <c r="B44" s="141"/>
      <c r="C44" s="141"/>
      <c r="D44" s="141"/>
    </row>
    <row r="45" spans="1:5" x14ac:dyDescent="0.25">
      <c r="A45" s="144" t="s">
        <v>1407</v>
      </c>
      <c r="B45" s="141"/>
      <c r="C45" s="141"/>
      <c r="D45" s="141"/>
    </row>
    <row r="46" spans="1:5" x14ac:dyDescent="0.25">
      <c r="A46" s="144"/>
      <c r="B46" s="141"/>
      <c r="C46" s="141"/>
      <c r="D46" s="141"/>
    </row>
    <row r="47" spans="1:5" x14ac:dyDescent="0.25">
      <c r="B47" s="141"/>
      <c r="C47" s="141"/>
      <c r="D47" s="141"/>
    </row>
    <row r="48" spans="1:5" x14ac:dyDescent="0.25">
      <c r="A48" s="145" t="s">
        <v>1486</v>
      </c>
      <c r="B48" s="141"/>
      <c r="C48" s="141"/>
      <c r="D48" s="141"/>
    </row>
    <row r="49" spans="1:5" x14ac:dyDescent="0.25">
      <c r="A49" s="144" t="s">
        <v>1407</v>
      </c>
      <c r="B49" s="141"/>
      <c r="C49" s="141"/>
      <c r="D49" s="141"/>
    </row>
    <row r="50" spans="1:5" x14ac:dyDescent="0.25">
      <c r="A50" s="144"/>
      <c r="B50" s="141"/>
      <c r="C50" s="141"/>
      <c r="D50" s="141"/>
    </row>
    <row r="51" spans="1:5" x14ac:dyDescent="0.25">
      <c r="B51" s="141"/>
      <c r="C51" s="141"/>
      <c r="D51" s="141"/>
    </row>
    <row r="52" spans="1:5" x14ac:dyDescent="0.25">
      <c r="A52" s="143" t="s">
        <v>1495</v>
      </c>
      <c r="B52" s="167"/>
      <c r="C52" s="167"/>
      <c r="D52" s="167"/>
      <c r="E52" s="155"/>
    </row>
    <row r="53" spans="1:5" x14ac:dyDescent="0.25">
      <c r="A53" s="144" t="s">
        <v>1494</v>
      </c>
      <c r="B53" s="167">
        <v>5.04</v>
      </c>
      <c r="C53" s="167">
        <f>+ROUND($D$2*B53,2)</f>
        <v>0.02</v>
      </c>
      <c r="D53" s="167">
        <f>+SUM(B53:C53)</f>
        <v>5.0599999999999996</v>
      </c>
      <c r="E53" s="155"/>
    </row>
    <row r="54" spans="1:5" x14ac:dyDescent="0.25">
      <c r="A54" s="144" t="s">
        <v>1493</v>
      </c>
      <c r="B54" s="167">
        <v>1.1599999999999999</v>
      </c>
      <c r="C54" s="167">
        <f>+ROUND($D$2*B54,2)</f>
        <v>0.01</v>
      </c>
      <c r="D54" s="167">
        <f>+SUM(B54:C54)</f>
        <v>1.17</v>
      </c>
      <c r="E54" s="155"/>
    </row>
    <row r="55" spans="1:5" x14ac:dyDescent="0.25">
      <c r="B55" s="167"/>
      <c r="C55" s="167"/>
      <c r="D55" s="167"/>
      <c r="E55" s="155"/>
    </row>
    <row r="56" spans="1:5" x14ac:dyDescent="0.25">
      <c r="A56" s="145" t="s">
        <v>1460</v>
      </c>
      <c r="B56" s="167"/>
      <c r="C56" s="167"/>
      <c r="D56" s="167"/>
      <c r="E56" s="155"/>
    </row>
    <row r="57" spans="1:5" x14ac:dyDescent="0.25">
      <c r="A57" s="144" t="s">
        <v>1492</v>
      </c>
      <c r="B57" s="167">
        <v>4.6100000000000003</v>
      </c>
      <c r="C57" s="167">
        <f>+ROUND($D$3*B57,2)</f>
        <v>0.02</v>
      </c>
      <c r="D57" s="167">
        <f>+SUM(B57:C57)</f>
        <v>4.63</v>
      </c>
      <c r="E57" s="155"/>
    </row>
    <row r="58" spans="1:5" x14ac:dyDescent="0.25">
      <c r="A58" s="144" t="s">
        <v>1491</v>
      </c>
      <c r="B58" s="167">
        <v>4.6100000000000003</v>
      </c>
      <c r="C58" s="167">
        <f>+ROUND($D$3*B58,2)</f>
        <v>0.02</v>
      </c>
      <c r="D58" s="167">
        <f>+SUM(B58:C58)</f>
        <v>4.63</v>
      </c>
      <c r="E58" s="155"/>
    </row>
    <row r="59" spans="1:5" x14ac:dyDescent="0.25">
      <c r="B59" s="167"/>
      <c r="C59" s="167"/>
      <c r="D59" s="167"/>
      <c r="E59" s="155"/>
    </row>
    <row r="60" spans="1:5" x14ac:dyDescent="0.25">
      <c r="A60" s="145" t="s">
        <v>1471</v>
      </c>
      <c r="B60" s="167"/>
      <c r="C60" s="167"/>
      <c r="D60" s="167"/>
      <c r="E60" s="155"/>
    </row>
    <row r="61" spans="1:5" x14ac:dyDescent="0.25">
      <c r="A61" s="144" t="s">
        <v>1492</v>
      </c>
      <c r="B61" s="167">
        <v>4.3099999999999996</v>
      </c>
      <c r="C61" s="167">
        <f>+ROUND($D$4*B61,2)</f>
        <v>0.02</v>
      </c>
      <c r="D61" s="167">
        <f>+SUM(B61:C61)</f>
        <v>4.3299999999999992</v>
      </c>
      <c r="E61" s="155"/>
    </row>
    <row r="62" spans="1:5" x14ac:dyDescent="0.25">
      <c r="A62" s="144" t="s">
        <v>1491</v>
      </c>
      <c r="B62" s="167">
        <v>4.3099999999999996</v>
      </c>
      <c r="C62" s="167">
        <f>+ROUND($D$4*B62,2)</f>
        <v>0.02</v>
      </c>
      <c r="D62" s="167">
        <f>+SUM(B62:C62)</f>
        <v>4.3299999999999992</v>
      </c>
      <c r="E62" s="155"/>
    </row>
    <row r="63" spans="1:5" x14ac:dyDescent="0.25">
      <c r="B63" s="167"/>
      <c r="C63" s="167"/>
      <c r="D63" s="167"/>
      <c r="E63" s="155"/>
    </row>
    <row r="64" spans="1:5" x14ac:dyDescent="0.25">
      <c r="A64" s="149" t="s">
        <v>1490</v>
      </c>
      <c r="B64" s="167">
        <v>3.5</v>
      </c>
      <c r="C64" s="167">
        <f>+ROUND($D$2*B64,2)</f>
        <v>0.02</v>
      </c>
      <c r="D64" s="167">
        <f>+SUM(B64:C64)</f>
        <v>3.52</v>
      </c>
      <c r="E64" s="155"/>
    </row>
    <row r="65" spans="1:5" x14ac:dyDescent="0.25">
      <c r="B65" s="167"/>
      <c r="C65" s="167"/>
      <c r="D65" s="167"/>
      <c r="E65" s="155"/>
    </row>
    <row r="66" spans="1:5" x14ac:dyDescent="0.25">
      <c r="A66" s="147" t="s">
        <v>1489</v>
      </c>
      <c r="B66" s="146"/>
      <c r="C66" s="146"/>
      <c r="D66" s="146"/>
    </row>
    <row r="67" spans="1:5" x14ac:dyDescent="0.25">
      <c r="A67" s="143" t="s">
        <v>1488</v>
      </c>
      <c r="B67" s="167"/>
      <c r="C67" s="167"/>
      <c r="D67" s="167"/>
      <c r="E67" s="155"/>
    </row>
    <row r="68" spans="1:5" x14ac:dyDescent="0.25">
      <c r="A68" s="145" t="s">
        <v>1487</v>
      </c>
      <c r="B68" s="167"/>
      <c r="C68" s="167"/>
      <c r="D68" s="167"/>
      <c r="E68" s="155"/>
    </row>
    <row r="69" spans="1:5" x14ac:dyDescent="0.25">
      <c r="A69" s="144" t="s">
        <v>1485</v>
      </c>
      <c r="B69" s="167">
        <v>0.84</v>
      </c>
      <c r="C69" s="167">
        <f>+ROUND($D$2*B69,2)</f>
        <v>0</v>
      </c>
      <c r="D69" s="167">
        <f>+SUM(B69:C69)</f>
        <v>0.84</v>
      </c>
      <c r="E69" s="155"/>
    </row>
    <row r="70" spans="1:5" x14ac:dyDescent="0.25">
      <c r="A70" s="144" t="s">
        <v>1484</v>
      </c>
      <c r="B70" s="167">
        <v>0.84</v>
      </c>
      <c r="C70" s="167">
        <f>+ROUND($D$2*B70,2)</f>
        <v>0</v>
      </c>
      <c r="D70" s="167">
        <f>+SUM(B70:C70)</f>
        <v>0.84</v>
      </c>
      <c r="E70" s="155"/>
    </row>
    <row r="71" spans="1:5" x14ac:dyDescent="0.25">
      <c r="A71" s="144" t="s">
        <v>1483</v>
      </c>
      <c r="B71" s="167">
        <v>0.84</v>
      </c>
      <c r="C71" s="167">
        <f>+ROUND($D$2*B71,2)</f>
        <v>0</v>
      </c>
      <c r="D71" s="167">
        <f>+SUM(B71:C71)</f>
        <v>0.84</v>
      </c>
      <c r="E71" s="155"/>
    </row>
    <row r="72" spans="1:5" x14ac:dyDescent="0.25">
      <c r="B72" s="167"/>
      <c r="C72" s="167"/>
      <c r="D72" s="167"/>
      <c r="E72" s="155"/>
    </row>
    <row r="73" spans="1:5" x14ac:dyDescent="0.25">
      <c r="A73" s="145" t="s">
        <v>1486</v>
      </c>
      <c r="B73" s="167"/>
      <c r="C73" s="167"/>
      <c r="D73" s="167"/>
      <c r="E73" s="155"/>
    </row>
    <row r="74" spans="1:5" x14ac:dyDescent="0.25">
      <c r="A74" s="144" t="s">
        <v>1485</v>
      </c>
      <c r="B74" s="167">
        <v>0.19</v>
      </c>
      <c r="C74" s="167">
        <f>+ROUND($D$2*B74,2)</f>
        <v>0</v>
      </c>
      <c r="D74" s="167">
        <f>+SUM(B74:C74)</f>
        <v>0.19</v>
      </c>
      <c r="E74" s="155"/>
    </row>
    <row r="75" spans="1:5" x14ac:dyDescent="0.25">
      <c r="A75" s="144" t="s">
        <v>1484</v>
      </c>
      <c r="B75" s="167">
        <v>0.19</v>
      </c>
      <c r="C75" s="167">
        <f>+ROUND($D$2*B75,2)</f>
        <v>0</v>
      </c>
      <c r="D75" s="167">
        <f>+SUM(B75:C75)</f>
        <v>0.19</v>
      </c>
      <c r="E75" s="155"/>
    </row>
    <row r="76" spans="1:5" x14ac:dyDescent="0.25">
      <c r="A76" s="144" t="s">
        <v>1483</v>
      </c>
      <c r="B76" s="167">
        <v>0.19</v>
      </c>
      <c r="C76" s="167">
        <f>+ROUND($D$2*B76,2)</f>
        <v>0</v>
      </c>
      <c r="D76" s="167">
        <f>+SUM(B76:C76)</f>
        <v>0.19</v>
      </c>
      <c r="E76" s="155"/>
    </row>
    <row r="77" spans="1:5" x14ac:dyDescent="0.25">
      <c r="B77" s="167"/>
      <c r="C77" s="167"/>
      <c r="D77" s="167"/>
      <c r="E77" s="155"/>
    </row>
    <row r="78" spans="1:5" x14ac:dyDescent="0.25">
      <c r="A78" s="147" t="s">
        <v>1482</v>
      </c>
      <c r="B78" s="146"/>
      <c r="C78" s="146"/>
      <c r="D78" s="146"/>
    </row>
    <row r="79" spans="1:5" x14ac:dyDescent="0.25">
      <c r="A79" s="143" t="s">
        <v>1478</v>
      </c>
      <c r="B79" s="141"/>
      <c r="C79" s="141"/>
      <c r="D79" s="141"/>
    </row>
    <row r="80" spans="1:5" x14ac:dyDescent="0.25">
      <c r="A80" s="142" t="s">
        <v>1476</v>
      </c>
      <c r="B80" s="167">
        <v>16.68</v>
      </c>
      <c r="C80" s="167">
        <f>+ROUND($D$2*B80,2)</f>
        <v>0.08</v>
      </c>
      <c r="D80" s="167">
        <f>+SUM(B80:C80)</f>
        <v>16.759999999999998</v>
      </c>
    </row>
    <row r="81" spans="1:8" x14ac:dyDescent="0.25">
      <c r="A81" s="142" t="s">
        <v>1475</v>
      </c>
      <c r="B81" s="167">
        <v>21.26</v>
      </c>
      <c r="C81" s="167">
        <f>+ROUND($D$2*B81,2)</f>
        <v>0.1</v>
      </c>
      <c r="D81" s="167">
        <f>+SUM(B81:C81)</f>
        <v>21.360000000000003</v>
      </c>
    </row>
    <row r="82" spans="1:8" x14ac:dyDescent="0.25">
      <c r="A82" s="142" t="s">
        <v>1474</v>
      </c>
      <c r="B82" s="167">
        <v>31.19</v>
      </c>
      <c r="C82" s="167">
        <f>+ROUND($D$2*B82,2)</f>
        <v>0.15</v>
      </c>
      <c r="D82" s="167">
        <f>+SUM(B82:C82)</f>
        <v>31.34</v>
      </c>
    </row>
    <row r="83" spans="1:8" x14ac:dyDescent="0.25">
      <c r="A83" s="142" t="s">
        <v>1473</v>
      </c>
      <c r="B83" s="167">
        <v>43.47</v>
      </c>
      <c r="C83" s="167">
        <f>+ROUND($D$2*B83,2)</f>
        <v>0.2</v>
      </c>
      <c r="D83" s="167">
        <f>+SUM(B83:C83)</f>
        <v>43.67</v>
      </c>
    </row>
    <row r="84" spans="1:8" x14ac:dyDescent="0.25">
      <c r="B84" s="167"/>
      <c r="C84" s="167"/>
      <c r="D84" s="167"/>
    </row>
    <row r="85" spans="1:8" x14ac:dyDescent="0.25">
      <c r="A85" s="143" t="s">
        <v>1477</v>
      </c>
      <c r="B85" s="167"/>
      <c r="C85" s="167"/>
      <c r="D85" s="167"/>
    </row>
    <row r="86" spans="1:8" x14ac:dyDescent="0.25">
      <c r="A86" s="142" t="s">
        <v>1476</v>
      </c>
      <c r="B86" s="167">
        <v>17.68</v>
      </c>
      <c r="C86" s="167">
        <f>C80</f>
        <v>0.08</v>
      </c>
      <c r="D86" s="167">
        <f>+SUM(B86:C86)</f>
        <v>17.759999999999998</v>
      </c>
      <c r="F86" s="153"/>
      <c r="G86" s="153"/>
      <c r="H86" s="153"/>
    </row>
    <row r="87" spans="1:8" x14ac:dyDescent="0.25">
      <c r="A87" s="142" t="s">
        <v>1475</v>
      </c>
      <c r="B87" s="167">
        <v>22.26</v>
      </c>
      <c r="C87" s="167">
        <f>C81</f>
        <v>0.1</v>
      </c>
      <c r="D87" s="167">
        <f>+SUM(B87:C87)</f>
        <v>22.360000000000003</v>
      </c>
      <c r="F87" s="153"/>
      <c r="G87" s="153"/>
      <c r="H87" s="153"/>
    </row>
    <row r="88" spans="1:8" x14ac:dyDescent="0.25">
      <c r="A88" s="142" t="s">
        <v>1474</v>
      </c>
      <c r="B88" s="167">
        <v>33.19</v>
      </c>
      <c r="C88" s="167">
        <f>C82</f>
        <v>0.15</v>
      </c>
      <c r="D88" s="167">
        <f>+SUM(B88:C88)</f>
        <v>33.339999999999996</v>
      </c>
      <c r="F88" s="153"/>
      <c r="G88" s="153"/>
      <c r="H88" s="153"/>
    </row>
    <row r="89" spans="1:8" x14ac:dyDescent="0.25">
      <c r="A89" s="142" t="s">
        <v>1473</v>
      </c>
      <c r="B89" s="167">
        <v>46.47</v>
      </c>
      <c r="C89" s="167">
        <f>C83</f>
        <v>0.2</v>
      </c>
      <c r="D89" s="167">
        <f>+SUM(B89:C89)</f>
        <v>46.67</v>
      </c>
      <c r="F89" s="153"/>
      <c r="G89" s="153"/>
      <c r="H89" s="153"/>
    </row>
    <row r="90" spans="1:8" x14ac:dyDescent="0.25">
      <c r="B90" s="167"/>
      <c r="C90" s="167"/>
      <c r="D90" s="167"/>
      <c r="F90" s="153"/>
    </row>
    <row r="91" spans="1:8" x14ac:dyDescent="0.25">
      <c r="A91" s="143" t="s">
        <v>1481</v>
      </c>
      <c r="B91" s="167"/>
      <c r="C91" s="167"/>
      <c r="D91" s="167"/>
      <c r="F91" s="153"/>
    </row>
    <row r="92" spans="1:8" x14ac:dyDescent="0.25">
      <c r="A92" s="142" t="s">
        <v>1476</v>
      </c>
      <c r="B92" s="167">
        <v>10.06</v>
      </c>
      <c r="C92" s="167">
        <f>+ROUND($D$2*B92,2)</f>
        <v>0.05</v>
      </c>
      <c r="D92" s="167">
        <f>+SUM(B92:C92)</f>
        <v>10.110000000000001</v>
      </c>
      <c r="F92" s="153"/>
    </row>
    <row r="93" spans="1:8" x14ac:dyDescent="0.25">
      <c r="A93" s="142" t="s">
        <v>1475</v>
      </c>
      <c r="B93" s="167">
        <v>12.56</v>
      </c>
      <c r="C93" s="167">
        <f>+ROUND($D$2*B93,2)</f>
        <v>0.06</v>
      </c>
      <c r="D93" s="167">
        <f>+SUM(B93:C93)</f>
        <v>12.620000000000001</v>
      </c>
      <c r="F93" s="153"/>
    </row>
    <row r="94" spans="1:8" x14ac:dyDescent="0.25">
      <c r="A94" s="142" t="s">
        <v>1474</v>
      </c>
      <c r="B94" s="167">
        <v>18.760000000000002</v>
      </c>
      <c r="C94" s="167">
        <f>+ROUND($D$2*B94,2)</f>
        <v>0.09</v>
      </c>
      <c r="D94" s="167">
        <f>+SUM(B94:C94)</f>
        <v>18.850000000000001</v>
      </c>
      <c r="F94" s="153"/>
    </row>
    <row r="95" spans="1:8" x14ac:dyDescent="0.25">
      <c r="A95" s="142" t="s">
        <v>1473</v>
      </c>
      <c r="B95" s="167">
        <v>26.32</v>
      </c>
      <c r="C95" s="167">
        <f>+ROUND($D$2*B95,2)</f>
        <v>0.12</v>
      </c>
      <c r="D95" s="167">
        <f>+SUM(B95:C95)</f>
        <v>26.44</v>
      </c>
      <c r="F95" s="153"/>
    </row>
    <row r="96" spans="1:8" x14ac:dyDescent="0.25">
      <c r="B96" s="167"/>
      <c r="C96" s="167"/>
      <c r="D96" s="167"/>
    </row>
    <row r="97" spans="1:4" x14ac:dyDescent="0.25">
      <c r="A97" s="143" t="s">
        <v>1460</v>
      </c>
      <c r="B97" s="167"/>
      <c r="C97" s="167"/>
      <c r="D97" s="167"/>
    </row>
    <row r="98" spans="1:4" x14ac:dyDescent="0.25">
      <c r="A98" s="142" t="s">
        <v>1459</v>
      </c>
      <c r="B98" s="167">
        <v>7.38</v>
      </c>
      <c r="C98" s="167">
        <f>+ROUND($D$3*B98,2)</f>
        <v>0.03</v>
      </c>
      <c r="D98" s="167">
        <f>+SUM(B98:C98)</f>
        <v>7.41</v>
      </c>
    </row>
    <row r="99" spans="1:4" x14ac:dyDescent="0.25">
      <c r="A99" s="142" t="s">
        <v>1472</v>
      </c>
      <c r="B99" s="167">
        <v>11.07</v>
      </c>
      <c r="C99" s="167">
        <f>+ROUND($D$3*B99,2)</f>
        <v>0.05</v>
      </c>
      <c r="D99" s="167">
        <f>+SUM(B99:C99)</f>
        <v>11.120000000000001</v>
      </c>
    </row>
    <row r="100" spans="1:4" x14ac:dyDescent="0.25">
      <c r="A100" s="144"/>
      <c r="B100" s="167"/>
      <c r="C100" s="167"/>
      <c r="D100" s="167"/>
    </row>
    <row r="101" spans="1:4" x14ac:dyDescent="0.25">
      <c r="A101" s="143" t="s">
        <v>1471</v>
      </c>
      <c r="B101" s="167"/>
      <c r="C101" s="167"/>
      <c r="D101" s="167"/>
    </row>
    <row r="102" spans="1:4" x14ac:dyDescent="0.25">
      <c r="A102" s="142" t="s">
        <v>1471</v>
      </c>
      <c r="B102" s="167">
        <v>6.2</v>
      </c>
      <c r="C102" s="167">
        <f>+ROUND($D$4*B102,2)</f>
        <v>0.03</v>
      </c>
      <c r="D102" s="167">
        <f>+SUM(B102:C102)</f>
        <v>6.23</v>
      </c>
    </row>
    <row r="103" spans="1:4" x14ac:dyDescent="0.25">
      <c r="A103" s="142"/>
      <c r="B103" s="167"/>
      <c r="C103" s="167"/>
      <c r="D103" s="167"/>
    </row>
    <row r="104" spans="1:4" x14ac:dyDescent="0.25">
      <c r="A104" s="168" t="s">
        <v>1530</v>
      </c>
      <c r="B104" s="167">
        <v>2.0499999999999998</v>
      </c>
      <c r="C104" s="167"/>
      <c r="D104" s="167">
        <f>+SUM(B104:C104)</f>
        <v>2.0499999999999998</v>
      </c>
    </row>
    <row r="105" spans="1:4" x14ac:dyDescent="0.25">
      <c r="A105" s="168" t="s">
        <v>1529</v>
      </c>
      <c r="B105" s="167">
        <v>75.209999999999994</v>
      </c>
      <c r="C105" s="167">
        <f>+ROUND($D$3*B105,2)</f>
        <v>0.35</v>
      </c>
      <c r="D105" s="167">
        <f>+SUM(B105:C105)</f>
        <v>75.559999999999988</v>
      </c>
    </row>
    <row r="106" spans="1:4" x14ac:dyDescent="0.25">
      <c r="B106" s="141"/>
      <c r="C106" s="141"/>
      <c r="D106" s="141"/>
    </row>
    <row r="107" spans="1:4" x14ac:dyDescent="0.25">
      <c r="A107" s="147" t="s">
        <v>1480</v>
      </c>
      <c r="B107" s="146"/>
      <c r="C107" s="146"/>
      <c r="D107" s="146"/>
    </row>
    <row r="108" spans="1:4" x14ac:dyDescent="0.25">
      <c r="A108" s="143" t="s">
        <v>1469</v>
      </c>
      <c r="B108" s="167"/>
      <c r="C108" s="167"/>
      <c r="D108" s="167"/>
    </row>
    <row r="109" spans="1:4" x14ac:dyDescent="0.25">
      <c r="A109" s="142" t="s">
        <v>1468</v>
      </c>
      <c r="B109" s="167">
        <v>4.8600000000000003</v>
      </c>
      <c r="C109" s="167">
        <f>+ROUND($D$4*B109,2)</f>
        <v>0.02</v>
      </c>
      <c r="D109" s="167">
        <f>+SUM(B109:C109)</f>
        <v>4.88</v>
      </c>
    </row>
    <row r="110" spans="1:4" x14ac:dyDescent="0.25">
      <c r="A110" s="142" t="s">
        <v>1467</v>
      </c>
      <c r="B110" s="167">
        <v>2</v>
      </c>
      <c r="C110" s="167">
        <f>+ROUND($D$4*B110,2)</f>
        <v>0.01</v>
      </c>
      <c r="D110" s="167">
        <f>+SUM(B110:C110)</f>
        <v>2.0099999999999998</v>
      </c>
    </row>
    <row r="111" spans="1:4" x14ac:dyDescent="0.25">
      <c r="A111" s="142"/>
      <c r="B111" s="167"/>
      <c r="C111" s="167"/>
      <c r="D111" s="167"/>
    </row>
    <row r="112" spans="1:4" x14ac:dyDescent="0.25">
      <c r="A112" s="143" t="s">
        <v>1466</v>
      </c>
      <c r="B112" s="167"/>
      <c r="C112" s="167"/>
      <c r="D112" s="167"/>
    </row>
    <row r="113" spans="1:9" x14ac:dyDescent="0.25">
      <c r="A113" s="142" t="s">
        <v>1404</v>
      </c>
      <c r="B113" s="167">
        <v>11.23</v>
      </c>
      <c r="C113" s="167">
        <f>+ROUND($D$2*B113,2)</f>
        <v>0.05</v>
      </c>
      <c r="D113" s="167">
        <f>+SUM(B113:C113)</f>
        <v>11.280000000000001</v>
      </c>
    </row>
    <row r="114" spans="1:9" x14ac:dyDescent="0.25">
      <c r="A114" s="142" t="s">
        <v>1465</v>
      </c>
      <c r="B114" s="167">
        <v>13.97</v>
      </c>
      <c r="C114" s="167">
        <f>+ROUND($D$2*B114,2)</f>
        <v>7.0000000000000007E-2</v>
      </c>
      <c r="D114" s="167">
        <f>+SUM(B114:C114)</f>
        <v>14.040000000000001</v>
      </c>
    </row>
    <row r="115" spans="1:9" x14ac:dyDescent="0.25">
      <c r="A115" s="142" t="s">
        <v>1402</v>
      </c>
      <c r="B115" s="167">
        <v>20.88</v>
      </c>
      <c r="C115" s="167">
        <f>+ROUND($D$2*B115,2)</f>
        <v>0.1</v>
      </c>
      <c r="D115" s="167">
        <f>+SUM(B115:C115)</f>
        <v>20.98</v>
      </c>
    </row>
    <row r="116" spans="1:9" x14ac:dyDescent="0.25">
      <c r="A116" s="142" t="s">
        <v>1401</v>
      </c>
      <c r="B116" s="167">
        <v>29.21</v>
      </c>
      <c r="C116" s="167">
        <f>+ROUND($D$2*B116,2)</f>
        <v>0.14000000000000001</v>
      </c>
      <c r="D116" s="167">
        <f>+SUM(B116:C116)</f>
        <v>29.35</v>
      </c>
    </row>
    <row r="117" spans="1:9" x14ac:dyDescent="0.25">
      <c r="B117" s="167"/>
      <c r="C117" s="167"/>
      <c r="D117" s="167"/>
    </row>
    <row r="118" spans="1:9" x14ac:dyDescent="0.25">
      <c r="A118" s="147" t="s">
        <v>1479</v>
      </c>
      <c r="B118" s="146"/>
      <c r="C118" s="146"/>
      <c r="D118" s="146"/>
    </row>
    <row r="119" spans="1:9" x14ac:dyDescent="0.25">
      <c r="A119" s="143" t="s">
        <v>1478</v>
      </c>
      <c r="B119" s="141"/>
      <c r="C119" s="141"/>
      <c r="D119" s="141"/>
    </row>
    <row r="120" spans="1:9" x14ac:dyDescent="0.25">
      <c r="A120" s="169" t="s">
        <v>1476</v>
      </c>
      <c r="B120" s="167">
        <v>18.079999999999998</v>
      </c>
      <c r="C120" s="167">
        <f>+ROUND($D$2*B120,2)</f>
        <v>0.08</v>
      </c>
      <c r="D120" s="167">
        <f>+SUM(B120:C120)</f>
        <v>18.159999999999997</v>
      </c>
    </row>
    <row r="121" spans="1:9" x14ac:dyDescent="0.25">
      <c r="A121" s="169" t="s">
        <v>1475</v>
      </c>
      <c r="B121" s="167">
        <v>23.02</v>
      </c>
      <c r="C121" s="167">
        <f>+ROUND($D$2*B121,2)</f>
        <v>0.11</v>
      </c>
      <c r="D121" s="167">
        <f>+SUM(B121:C121)</f>
        <v>23.13</v>
      </c>
    </row>
    <row r="122" spans="1:9" x14ac:dyDescent="0.25">
      <c r="A122" s="169" t="s">
        <v>1474</v>
      </c>
      <c r="B122" s="167">
        <v>35.96</v>
      </c>
      <c r="C122" s="167">
        <f>+ROUND($D$2*B122,2)</f>
        <v>0.17</v>
      </c>
      <c r="D122" s="167">
        <f>+SUM(B122:C122)</f>
        <v>36.130000000000003</v>
      </c>
    </row>
    <row r="123" spans="1:9" x14ac:dyDescent="0.25">
      <c r="A123" s="169" t="s">
        <v>1473</v>
      </c>
      <c r="B123" s="167">
        <v>52.94</v>
      </c>
      <c r="C123" s="167">
        <f>+ROUND($D$2*B123,2)</f>
        <v>0.25</v>
      </c>
      <c r="D123" s="167">
        <f>+SUM(B123:C123)</f>
        <v>53.19</v>
      </c>
    </row>
    <row r="124" spans="1:9" x14ac:dyDescent="0.25">
      <c r="A124" s="155"/>
      <c r="B124" s="167"/>
      <c r="C124" s="167"/>
      <c r="D124" s="167"/>
    </row>
    <row r="125" spans="1:9" x14ac:dyDescent="0.25">
      <c r="A125" s="170" t="s">
        <v>1477</v>
      </c>
      <c r="B125" s="167"/>
      <c r="C125" s="167"/>
      <c r="D125" s="167"/>
    </row>
    <row r="126" spans="1:9" x14ac:dyDescent="0.25">
      <c r="A126" s="169" t="s">
        <v>1476</v>
      </c>
      <c r="B126" s="167">
        <v>18.829999999999998</v>
      </c>
      <c r="C126" s="167">
        <f>C120</f>
        <v>0.08</v>
      </c>
      <c r="D126" s="167">
        <f>+SUM(B126:C126)</f>
        <v>18.909999999999997</v>
      </c>
      <c r="G126" s="153"/>
      <c r="I126" s="153"/>
    </row>
    <row r="127" spans="1:9" x14ac:dyDescent="0.25">
      <c r="A127" s="169" t="s">
        <v>1475</v>
      </c>
      <c r="B127" s="167">
        <v>23.77</v>
      </c>
      <c r="C127" s="167">
        <f>C121</f>
        <v>0.11</v>
      </c>
      <c r="D127" s="167">
        <f>+SUM(B127:C127)</f>
        <v>23.88</v>
      </c>
      <c r="G127" s="153"/>
      <c r="I127" s="153"/>
    </row>
    <row r="128" spans="1:9" x14ac:dyDescent="0.25">
      <c r="A128" s="169" t="s">
        <v>1474</v>
      </c>
      <c r="B128" s="167">
        <v>36.71</v>
      </c>
      <c r="C128" s="167">
        <f>C122</f>
        <v>0.17</v>
      </c>
      <c r="D128" s="167">
        <f>+SUM(B128:C128)</f>
        <v>36.880000000000003</v>
      </c>
      <c r="G128" s="153"/>
      <c r="I128" s="153"/>
    </row>
    <row r="129" spans="1:9" x14ac:dyDescent="0.25">
      <c r="A129" s="169" t="s">
        <v>1473</v>
      </c>
      <c r="B129" s="167">
        <v>53.69</v>
      </c>
      <c r="C129" s="167">
        <f>C123</f>
        <v>0.25</v>
      </c>
      <c r="D129" s="167">
        <f>+SUM(B129:C129)</f>
        <v>53.94</v>
      </c>
      <c r="G129" s="153"/>
      <c r="H129" s="153"/>
      <c r="I129" s="153"/>
    </row>
    <row r="130" spans="1:9" x14ac:dyDescent="0.25">
      <c r="A130" s="155"/>
      <c r="B130" s="167"/>
      <c r="C130" s="167"/>
      <c r="D130" s="167"/>
      <c r="I130" s="153"/>
    </row>
    <row r="131" spans="1:9" x14ac:dyDescent="0.25">
      <c r="A131" s="170" t="s">
        <v>1460</v>
      </c>
      <c r="B131" s="167"/>
      <c r="C131" s="167"/>
      <c r="D131" s="167"/>
    </row>
    <row r="132" spans="1:9" x14ac:dyDescent="0.25">
      <c r="A132" s="169" t="s">
        <v>1459</v>
      </c>
      <c r="B132" s="167">
        <v>7.38</v>
      </c>
      <c r="C132" s="167">
        <f>+ROUND($D$3*B132,2)</f>
        <v>0.03</v>
      </c>
      <c r="D132" s="167">
        <f>+SUM(B132:C132)</f>
        <v>7.41</v>
      </c>
    </row>
    <row r="133" spans="1:9" x14ac:dyDescent="0.25">
      <c r="A133" s="169" t="s">
        <v>1472</v>
      </c>
      <c r="B133" s="167">
        <v>11.07</v>
      </c>
      <c r="C133" s="167">
        <f>+ROUND($D$3*B133,2)</f>
        <v>0.05</v>
      </c>
      <c r="D133" s="167">
        <f>+SUM(B133:C133)</f>
        <v>11.120000000000001</v>
      </c>
    </row>
    <row r="134" spans="1:9" x14ac:dyDescent="0.25">
      <c r="A134" s="171"/>
      <c r="B134" s="167"/>
      <c r="C134" s="167"/>
      <c r="D134" s="167"/>
    </row>
    <row r="135" spans="1:9" x14ac:dyDescent="0.25">
      <c r="A135" s="170" t="s">
        <v>1471</v>
      </c>
      <c r="B135" s="167"/>
      <c r="C135" s="167"/>
      <c r="D135" s="167"/>
    </row>
    <row r="136" spans="1:9" x14ac:dyDescent="0.25">
      <c r="A136" s="169" t="s">
        <v>1471</v>
      </c>
      <c r="B136" s="167">
        <v>6.2</v>
      </c>
      <c r="C136" s="167">
        <f>+ROUND($D$4*B136,2)</f>
        <v>0.03</v>
      </c>
      <c r="D136" s="167">
        <f>+SUM(B136:C136)</f>
        <v>6.23</v>
      </c>
    </row>
    <row r="137" spans="1:9" x14ac:dyDescent="0.25">
      <c r="A137" s="169"/>
      <c r="B137" s="167"/>
      <c r="C137" s="167"/>
      <c r="D137" s="167"/>
    </row>
    <row r="138" spans="1:9" x14ac:dyDescent="0.25">
      <c r="A138" s="172" t="s">
        <v>1529</v>
      </c>
      <c r="B138" s="167">
        <v>75.209999999999994</v>
      </c>
      <c r="C138" s="167">
        <f>+ROUND($D$4*B138,2)</f>
        <v>0.35</v>
      </c>
      <c r="D138" s="167">
        <f>+SUM(B138:C138)</f>
        <v>75.559999999999988</v>
      </c>
    </row>
    <row r="139" spans="1:9" x14ac:dyDescent="0.25">
      <c r="B139" s="141"/>
      <c r="C139" s="141"/>
      <c r="D139" s="141"/>
    </row>
    <row r="140" spans="1:9" x14ac:dyDescent="0.25">
      <c r="A140" s="147" t="s">
        <v>1470</v>
      </c>
      <c r="B140" s="146"/>
      <c r="C140" s="146"/>
      <c r="D140" s="146"/>
    </row>
    <row r="141" spans="1:9" x14ac:dyDescent="0.25">
      <c r="A141" s="143" t="s">
        <v>1469</v>
      </c>
      <c r="B141" s="167"/>
      <c r="C141" s="167"/>
      <c r="D141" s="167"/>
      <c r="E141" s="155"/>
    </row>
    <row r="142" spans="1:9" x14ac:dyDescent="0.25">
      <c r="A142" s="142" t="s">
        <v>1468</v>
      </c>
      <c r="B142" s="167">
        <v>4.83</v>
      </c>
      <c r="C142" s="167">
        <f>+ROUND($D$2*B142,2)</f>
        <v>0.02</v>
      </c>
      <c r="D142" s="167">
        <f>+SUM(B142:C142)</f>
        <v>4.8499999999999996</v>
      </c>
      <c r="E142" s="155"/>
    </row>
    <row r="143" spans="1:9" x14ac:dyDescent="0.25">
      <c r="A143" s="142" t="s">
        <v>1467</v>
      </c>
      <c r="B143" s="167">
        <v>2</v>
      </c>
      <c r="C143" s="167">
        <f>+ROUND($D$4*B143,2)</f>
        <v>0.01</v>
      </c>
      <c r="D143" s="167">
        <f>+SUM(B143:C143)</f>
        <v>2.0099999999999998</v>
      </c>
      <c r="E143" s="155"/>
    </row>
    <row r="144" spans="1:9" x14ac:dyDescent="0.25">
      <c r="A144" s="142"/>
      <c r="B144" s="167"/>
      <c r="C144" s="167"/>
      <c r="D144" s="167"/>
      <c r="E144" s="155"/>
    </row>
    <row r="145" spans="1:5" x14ac:dyDescent="0.25">
      <c r="A145" s="143" t="s">
        <v>1466</v>
      </c>
      <c r="B145" s="167"/>
      <c r="C145" s="167"/>
      <c r="D145" s="167"/>
      <c r="E145" s="155"/>
    </row>
    <row r="146" spans="1:5" x14ac:dyDescent="0.25">
      <c r="A146" s="142" t="s">
        <v>1404</v>
      </c>
      <c r="B146" s="167">
        <v>15.84</v>
      </c>
      <c r="C146" s="167">
        <f>+ROUND($D$2*B146,2)</f>
        <v>7.0000000000000007E-2</v>
      </c>
      <c r="D146" s="167">
        <f>+SUM(B146:C146)</f>
        <v>15.91</v>
      </c>
      <c r="E146" s="155"/>
    </row>
    <row r="147" spans="1:5" x14ac:dyDescent="0.25">
      <c r="A147" s="142" t="s">
        <v>1465</v>
      </c>
      <c r="B147" s="167">
        <v>19.75</v>
      </c>
      <c r="C147" s="167">
        <f>+ROUND($D$2*B147,2)</f>
        <v>0.09</v>
      </c>
      <c r="D147" s="167">
        <f>+SUM(B147:C147)</f>
        <v>19.84</v>
      </c>
      <c r="E147" s="155"/>
    </row>
    <row r="148" spans="1:5" x14ac:dyDescent="0.25">
      <c r="A148" s="142" t="s">
        <v>1402</v>
      </c>
      <c r="B148" s="167">
        <v>29.55</v>
      </c>
      <c r="C148" s="167">
        <f>+ROUND($D$2*B148,2)</f>
        <v>0.14000000000000001</v>
      </c>
      <c r="D148" s="167">
        <f>+SUM(B148:C148)</f>
        <v>29.69</v>
      </c>
      <c r="E148" s="155"/>
    </row>
    <row r="149" spans="1:5" x14ac:dyDescent="0.25">
      <c r="A149" s="142" t="s">
        <v>1401</v>
      </c>
      <c r="B149" s="167">
        <v>41.37</v>
      </c>
      <c r="C149" s="167">
        <f>+ROUND($D$2*B149,2)</f>
        <v>0.19</v>
      </c>
      <c r="D149" s="167">
        <f>+SUM(B149:C149)</f>
        <v>41.559999999999995</v>
      </c>
      <c r="E149" s="155"/>
    </row>
    <row r="150" spans="1:5" x14ac:dyDescent="0.25">
      <c r="B150" s="141"/>
      <c r="C150" s="141"/>
      <c r="D150" s="141"/>
    </row>
    <row r="151" spans="1:5" x14ac:dyDescent="0.25">
      <c r="A151" s="147" t="s">
        <v>1464</v>
      </c>
      <c r="B151" s="146"/>
      <c r="C151" s="146"/>
      <c r="D151" s="146"/>
    </row>
    <row r="152" spans="1:5" x14ac:dyDescent="0.25">
      <c r="A152" s="143" t="s">
        <v>1463</v>
      </c>
      <c r="B152" s="141"/>
      <c r="C152" s="141"/>
      <c r="D152" s="141"/>
    </row>
    <row r="153" spans="1:5" x14ac:dyDescent="0.25">
      <c r="A153" s="142" t="s">
        <v>1462</v>
      </c>
      <c r="B153" s="167" t="s">
        <v>1407</v>
      </c>
      <c r="C153" s="167"/>
      <c r="D153" s="167"/>
    </row>
    <row r="154" spans="1:5" x14ac:dyDescent="0.25">
      <c r="A154" s="142" t="s">
        <v>1405</v>
      </c>
      <c r="B154" s="167" t="s">
        <v>1407</v>
      </c>
      <c r="C154" s="167"/>
      <c r="D154" s="167"/>
    </row>
    <row r="155" spans="1:5" x14ac:dyDescent="0.25">
      <c r="A155" s="142" t="s">
        <v>1404</v>
      </c>
      <c r="B155" s="167">
        <v>3.88</v>
      </c>
      <c r="C155" s="167">
        <f>+ROUND($D$2*B155,2)</f>
        <v>0.02</v>
      </c>
      <c r="D155" s="167">
        <f>+SUM(B155:C155)</f>
        <v>3.9</v>
      </c>
    </row>
    <row r="156" spans="1:5" x14ac:dyDescent="0.25">
      <c r="A156" s="142" t="s">
        <v>1403</v>
      </c>
      <c r="B156" s="167">
        <v>4.8600000000000003</v>
      </c>
      <c r="C156" s="167">
        <f>+ROUND($D$2*B156,2)</f>
        <v>0.02</v>
      </c>
      <c r="D156" s="167">
        <f>+SUM(B156:C156)</f>
        <v>4.88</v>
      </c>
    </row>
    <row r="157" spans="1:5" x14ac:dyDescent="0.25">
      <c r="A157" s="142" t="s">
        <v>1402</v>
      </c>
      <c r="B157" s="167">
        <v>7.2</v>
      </c>
      <c r="C157" s="167">
        <f>+ROUND($D$2*B157,2)</f>
        <v>0.03</v>
      </c>
      <c r="D157" s="167">
        <f>+SUM(B157:C157)</f>
        <v>7.23</v>
      </c>
    </row>
    <row r="158" spans="1:5" x14ac:dyDescent="0.25">
      <c r="A158" s="142" t="s">
        <v>1401</v>
      </c>
      <c r="B158" s="167">
        <v>10.06</v>
      </c>
      <c r="C158" s="167">
        <f>+ROUND($D$2*B158,2)</f>
        <v>0.05</v>
      </c>
      <c r="D158" s="167">
        <f>+SUM(B158:C158)</f>
        <v>10.110000000000001</v>
      </c>
    </row>
    <row r="159" spans="1:5" x14ac:dyDescent="0.25">
      <c r="B159" s="167"/>
      <c r="C159" s="167"/>
      <c r="D159" s="167"/>
    </row>
    <row r="160" spans="1:5" x14ac:dyDescent="0.25">
      <c r="A160" s="143" t="s">
        <v>1460</v>
      </c>
      <c r="B160" s="167"/>
      <c r="C160" s="167"/>
      <c r="D160" s="167"/>
    </row>
    <row r="161" spans="1:10" x14ac:dyDescent="0.25">
      <c r="A161" s="144" t="s">
        <v>1459</v>
      </c>
      <c r="B161" s="167">
        <v>7.47</v>
      </c>
      <c r="C161" s="167">
        <f>+ROUND($D$3*B161,2)</f>
        <v>0.03</v>
      </c>
      <c r="D161" s="167">
        <f>+SUM(B161:C161)</f>
        <v>7.5</v>
      </c>
    </row>
    <row r="162" spans="1:10" x14ac:dyDescent="0.25">
      <c r="A162" s="144" t="s">
        <v>1458</v>
      </c>
      <c r="B162" s="167">
        <v>0.75</v>
      </c>
      <c r="C162" s="167">
        <f>+ROUND($D$3*B162,2)</f>
        <v>0</v>
      </c>
      <c r="D162" s="167">
        <f>+SUM(B162:C162)</f>
        <v>0.75</v>
      </c>
    </row>
    <row r="163" spans="1:10" x14ac:dyDescent="0.25">
      <c r="B163" s="167"/>
      <c r="C163" s="167"/>
      <c r="D163" s="167"/>
    </row>
    <row r="164" spans="1:10" x14ac:dyDescent="0.25">
      <c r="A164" s="147" t="s">
        <v>1461</v>
      </c>
      <c r="B164" s="146"/>
      <c r="C164" s="146"/>
      <c r="D164" s="146"/>
    </row>
    <row r="165" spans="1:10" x14ac:dyDescent="0.25">
      <c r="A165" s="143" t="s">
        <v>1366</v>
      </c>
      <c r="B165" s="141"/>
      <c r="C165" s="141"/>
      <c r="D165" s="141"/>
    </row>
    <row r="166" spans="1:10" x14ac:dyDescent="0.25">
      <c r="A166" s="145" t="s">
        <v>1380</v>
      </c>
      <c r="B166" s="141"/>
      <c r="C166" s="141"/>
      <c r="D166" s="141"/>
      <c r="F166" s="152"/>
      <c r="G166" s="139"/>
    </row>
    <row r="167" spans="1:10" x14ac:dyDescent="0.25">
      <c r="A167" s="144" t="s">
        <v>1410</v>
      </c>
      <c r="B167" s="167">
        <v>28.47</v>
      </c>
      <c r="C167" s="167">
        <f>B167*$D$2</f>
        <v>0.13323688759613139</v>
      </c>
      <c r="D167" s="167">
        <f>+SUM(B167:C167)</f>
        <v>28.603236887596129</v>
      </c>
      <c r="F167" s="151"/>
      <c r="G167" s="150"/>
      <c r="I167" s="153"/>
      <c r="J167" s="153"/>
    </row>
    <row r="168" spans="1:10" x14ac:dyDescent="0.25">
      <c r="A168" s="144" t="s">
        <v>1409</v>
      </c>
      <c r="B168" s="167">
        <v>39.94</v>
      </c>
      <c r="C168" s="167">
        <f t="shared" ref="C168:C171" si="2">B168*$D$2</f>
        <v>0.18691539482225103</v>
      </c>
      <c r="D168" s="167">
        <f>+SUM(B168:C168)</f>
        <v>40.126915394822248</v>
      </c>
      <c r="F168" s="151"/>
      <c r="G168" s="150"/>
      <c r="I168" s="153"/>
      <c r="J168" s="153"/>
    </row>
    <row r="169" spans="1:10" x14ac:dyDescent="0.25">
      <c r="A169" s="144" t="s">
        <v>1392</v>
      </c>
      <c r="B169" s="167">
        <v>50.42</v>
      </c>
      <c r="C169" s="167">
        <f t="shared" si="2"/>
        <v>0.23596079636799946</v>
      </c>
      <c r="D169" s="167">
        <f>+SUM(B169:C169)</f>
        <v>50.655960796367999</v>
      </c>
      <c r="F169" s="151"/>
      <c r="G169" s="150"/>
      <c r="I169" s="153"/>
      <c r="J169" s="153"/>
    </row>
    <row r="170" spans="1:10" x14ac:dyDescent="0.25">
      <c r="A170" s="144" t="s">
        <v>1386</v>
      </c>
      <c r="B170" s="167">
        <v>95.85</v>
      </c>
      <c r="C170" s="167">
        <f t="shared" si="2"/>
        <v>0.4485688681450366</v>
      </c>
      <c r="D170" s="167">
        <f>+SUM(B170:C170)</f>
        <v>96.298568868145026</v>
      </c>
      <c r="F170" s="151"/>
      <c r="G170" s="150"/>
      <c r="I170" s="153"/>
      <c r="J170" s="153"/>
    </row>
    <row r="171" spans="1:10" x14ac:dyDescent="0.25">
      <c r="A171" s="144" t="s">
        <v>1385</v>
      </c>
      <c r="B171" s="167">
        <v>134.58000000000001</v>
      </c>
      <c r="C171" s="167">
        <f t="shared" si="2"/>
        <v>0.62982157824683394</v>
      </c>
      <c r="D171" s="167">
        <f>+SUM(B171:C171)</f>
        <v>135.20982157824685</v>
      </c>
      <c r="F171" s="151"/>
      <c r="G171" s="150"/>
      <c r="I171" s="153"/>
      <c r="J171" s="153"/>
    </row>
    <row r="172" spans="1:10" x14ac:dyDescent="0.25">
      <c r="B172" s="167"/>
      <c r="C172" s="167"/>
      <c r="D172" s="167"/>
    </row>
    <row r="173" spans="1:10" x14ac:dyDescent="0.25">
      <c r="A173" s="145" t="s">
        <v>1388</v>
      </c>
      <c r="B173" s="167"/>
      <c r="C173" s="167"/>
      <c r="D173" s="167"/>
    </row>
    <row r="174" spans="1:10" x14ac:dyDescent="0.25">
      <c r="A174" s="144" t="s">
        <v>1410</v>
      </c>
      <c r="B174" s="167">
        <v>30.64</v>
      </c>
      <c r="C174" s="167">
        <f t="shared" ref="C174:C178" si="3">B174*$D$2</f>
        <v>0.14339228085512701</v>
      </c>
      <c r="D174" s="167">
        <f>+SUM(B174:C174)</f>
        <v>30.783392280855129</v>
      </c>
    </row>
    <row r="175" spans="1:10" x14ac:dyDescent="0.25">
      <c r="A175" s="144" t="s">
        <v>1409</v>
      </c>
      <c r="B175" s="167">
        <v>42.13</v>
      </c>
      <c r="C175" s="167">
        <f t="shared" si="3"/>
        <v>0.19716438617579962</v>
      </c>
      <c r="D175" s="167">
        <f>+SUM(B175:C175)</f>
        <v>42.327164386175802</v>
      </c>
    </row>
    <row r="176" spans="1:10" x14ac:dyDescent="0.25">
      <c r="A176" s="144" t="s">
        <v>1392</v>
      </c>
      <c r="B176" s="167">
        <v>52.6</v>
      </c>
      <c r="C176" s="167">
        <f t="shared" si="3"/>
        <v>0.24616298867427155</v>
      </c>
      <c r="D176" s="167">
        <f>+SUM(B176:C176)</f>
        <v>52.846162988674273</v>
      </c>
    </row>
    <row r="177" spans="1:4" x14ac:dyDescent="0.25">
      <c r="A177" s="144" t="s">
        <v>1386</v>
      </c>
      <c r="B177" s="167">
        <v>98.02</v>
      </c>
      <c r="C177" s="167">
        <f t="shared" si="3"/>
        <v>0.45872426140403222</v>
      </c>
      <c r="D177" s="167">
        <f>+SUM(B177:C177)</f>
        <v>98.478724261404025</v>
      </c>
    </row>
    <row r="178" spans="1:4" x14ac:dyDescent="0.25">
      <c r="A178" s="144" t="s">
        <v>1385</v>
      </c>
      <c r="B178" s="167">
        <v>136.77000000000001</v>
      </c>
      <c r="C178" s="167">
        <f t="shared" si="3"/>
        <v>0.64007056960038256</v>
      </c>
      <c r="D178" s="167">
        <f>+SUM(B178:C178)</f>
        <v>137.41007056960041</v>
      </c>
    </row>
    <row r="179" spans="1:4" x14ac:dyDescent="0.25">
      <c r="B179" s="167"/>
      <c r="C179" s="141"/>
      <c r="D179" s="167"/>
    </row>
    <row r="180" spans="1:4" x14ac:dyDescent="0.25">
      <c r="A180" s="143" t="s">
        <v>1379</v>
      </c>
      <c r="B180" s="167"/>
      <c r="C180" s="141"/>
      <c r="D180" s="167"/>
    </row>
    <row r="181" spans="1:4" x14ac:dyDescent="0.25">
      <c r="A181" s="145" t="s">
        <v>1378</v>
      </c>
      <c r="B181" s="167"/>
      <c r="C181" s="141"/>
      <c r="D181" s="167"/>
    </row>
    <row r="182" spans="1:4" x14ac:dyDescent="0.25">
      <c r="A182" s="144" t="s">
        <v>1410</v>
      </c>
      <c r="B182" s="167">
        <v>42.63</v>
      </c>
      <c r="C182" s="141">
        <f>+$C327</f>
        <v>0.2</v>
      </c>
      <c r="D182" s="167">
        <f>+SUM(B182:C182)</f>
        <v>42.830000000000005</v>
      </c>
    </row>
    <row r="183" spans="1:4" x14ac:dyDescent="0.25">
      <c r="A183" s="144" t="s">
        <v>1409</v>
      </c>
      <c r="B183" s="167">
        <v>42.63</v>
      </c>
      <c r="C183" s="141">
        <f>+$C328</f>
        <v>0.2</v>
      </c>
      <c r="D183" s="167">
        <f>+SUM(B183:C183)</f>
        <v>42.830000000000005</v>
      </c>
    </row>
    <row r="184" spans="1:4" x14ac:dyDescent="0.25">
      <c r="A184" s="144" t="s">
        <v>1392</v>
      </c>
      <c r="B184" s="167">
        <v>42.63</v>
      </c>
      <c r="C184" s="141">
        <f>+$C329</f>
        <v>0.2</v>
      </c>
      <c r="D184" s="167">
        <f>+SUM(B184:C184)</f>
        <v>42.830000000000005</v>
      </c>
    </row>
    <row r="185" spans="1:4" x14ac:dyDescent="0.25">
      <c r="A185" s="144" t="s">
        <v>1386</v>
      </c>
      <c r="B185" s="167">
        <v>42.63</v>
      </c>
      <c r="C185" s="141">
        <f>+$C330</f>
        <v>0.2</v>
      </c>
      <c r="D185" s="167">
        <f>+SUM(B185:C185)</f>
        <v>42.830000000000005</v>
      </c>
    </row>
    <row r="186" spans="1:4" x14ac:dyDescent="0.25">
      <c r="A186" s="144" t="s">
        <v>1385</v>
      </c>
      <c r="B186" s="167">
        <v>42.63</v>
      </c>
      <c r="C186" s="141">
        <f>+$C331</f>
        <v>0.2</v>
      </c>
      <c r="D186" s="167">
        <f>+SUM(B186:C186)</f>
        <v>42.830000000000005</v>
      </c>
    </row>
    <row r="187" spans="1:4" x14ac:dyDescent="0.25">
      <c r="B187" s="167"/>
      <c r="C187" s="141"/>
      <c r="D187" s="167"/>
    </row>
    <row r="188" spans="1:4" x14ac:dyDescent="0.25">
      <c r="A188" s="145" t="s">
        <v>1412</v>
      </c>
      <c r="B188" s="167"/>
      <c r="C188" s="141"/>
      <c r="D188" s="167"/>
    </row>
    <row r="189" spans="1:4" x14ac:dyDescent="0.25">
      <c r="A189" s="144" t="s">
        <v>1410</v>
      </c>
      <c r="B189" s="167">
        <v>30.64</v>
      </c>
      <c r="C189" s="167">
        <f t="shared" ref="C189:C193" si="4">B189*$D$2</f>
        <v>0.14339228085512701</v>
      </c>
      <c r="D189" s="167">
        <f>+SUM(B189:C189)</f>
        <v>30.783392280855129</v>
      </c>
    </row>
    <row r="190" spans="1:4" x14ac:dyDescent="0.25">
      <c r="A190" s="144" t="s">
        <v>1409</v>
      </c>
      <c r="B190" s="167">
        <v>42.13</v>
      </c>
      <c r="C190" s="167">
        <f t="shared" si="4"/>
        <v>0.19716438617579962</v>
      </c>
      <c r="D190" s="167">
        <f>+SUM(B190:C190)</f>
        <v>42.327164386175802</v>
      </c>
    </row>
    <row r="191" spans="1:4" x14ac:dyDescent="0.25">
      <c r="A191" s="144" t="s">
        <v>1392</v>
      </c>
      <c r="B191" s="167">
        <v>52.6</v>
      </c>
      <c r="C191" s="167">
        <f t="shared" si="4"/>
        <v>0.24616298867427155</v>
      </c>
      <c r="D191" s="167">
        <f>+SUM(B191:C191)</f>
        <v>52.846162988674273</v>
      </c>
    </row>
    <row r="192" spans="1:4" x14ac:dyDescent="0.25">
      <c r="A192" s="144" t="s">
        <v>1386</v>
      </c>
      <c r="B192" s="167">
        <v>98.02</v>
      </c>
      <c r="C192" s="167">
        <f t="shared" si="4"/>
        <v>0.45872426140403222</v>
      </c>
      <c r="D192" s="167">
        <f>+SUM(B192:C192)</f>
        <v>98.478724261404025</v>
      </c>
    </row>
    <row r="193" spans="1:4" x14ac:dyDescent="0.25">
      <c r="A193" s="144" t="s">
        <v>1385</v>
      </c>
      <c r="B193" s="167">
        <v>136.77000000000001</v>
      </c>
      <c r="C193" s="167">
        <f t="shared" si="4"/>
        <v>0.64007056960038256</v>
      </c>
      <c r="D193" s="167">
        <f>+SUM(B193:C193)</f>
        <v>137.41007056960041</v>
      </c>
    </row>
    <row r="194" spans="1:4" x14ac:dyDescent="0.25">
      <c r="B194" s="167"/>
      <c r="C194" s="141"/>
      <c r="D194" s="167"/>
    </row>
    <row r="195" spans="1:4" x14ac:dyDescent="0.25">
      <c r="A195" s="143" t="s">
        <v>1411</v>
      </c>
      <c r="B195" s="167"/>
      <c r="C195" s="141"/>
      <c r="D195" s="167"/>
    </row>
    <row r="196" spans="1:4" x14ac:dyDescent="0.25">
      <c r="A196" s="142" t="s">
        <v>1410</v>
      </c>
      <c r="B196" s="167">
        <v>606.61</v>
      </c>
      <c r="C196" s="167">
        <f>+ROUND($D$3*B196,2)</f>
        <v>2.84</v>
      </c>
      <c r="D196" s="167">
        <f>+SUM(B196:C196)</f>
        <v>609.45000000000005</v>
      </c>
    </row>
    <row r="197" spans="1:4" x14ac:dyDescent="0.25">
      <c r="A197" s="142" t="s">
        <v>1409</v>
      </c>
      <c r="B197" s="167">
        <v>657.16</v>
      </c>
      <c r="C197" s="167">
        <f t="shared" ref="C197:C200" si="5">+ROUND($D$3*B197,2)</f>
        <v>3.08</v>
      </c>
      <c r="D197" s="167">
        <f>+SUM(B197:C197)</f>
        <v>660.24</v>
      </c>
    </row>
    <row r="198" spans="1:4" x14ac:dyDescent="0.25">
      <c r="A198" s="142" t="s">
        <v>1392</v>
      </c>
      <c r="B198" s="167">
        <v>707.71</v>
      </c>
      <c r="C198" s="167">
        <f t="shared" si="5"/>
        <v>3.31</v>
      </c>
      <c r="D198" s="167">
        <f>+SUM(B198:C198)</f>
        <v>711.02</v>
      </c>
    </row>
    <row r="199" spans="1:4" x14ac:dyDescent="0.25">
      <c r="A199" s="142" t="s">
        <v>1386</v>
      </c>
      <c r="B199" s="167">
        <v>859.36</v>
      </c>
      <c r="C199" s="167">
        <f t="shared" si="5"/>
        <v>4.0199999999999996</v>
      </c>
      <c r="D199" s="167">
        <f>+SUM(B199:C199)</f>
        <v>863.38</v>
      </c>
    </row>
    <row r="200" spans="1:4" x14ac:dyDescent="0.25">
      <c r="A200" s="142" t="s">
        <v>1385</v>
      </c>
      <c r="B200" s="167">
        <v>1061.56</v>
      </c>
      <c r="C200" s="167">
        <f t="shared" si="5"/>
        <v>4.97</v>
      </c>
      <c r="D200" s="167">
        <f>+SUM(B200:C200)</f>
        <v>1066.53</v>
      </c>
    </row>
    <row r="201" spans="1:4" x14ac:dyDescent="0.25">
      <c r="B201" s="167"/>
      <c r="C201" s="167"/>
      <c r="D201" s="167"/>
    </row>
    <row r="202" spans="1:4" x14ac:dyDescent="0.25">
      <c r="A202" s="143" t="s">
        <v>1460</v>
      </c>
      <c r="B202" s="167"/>
      <c r="C202" s="167"/>
      <c r="D202" s="167"/>
    </row>
    <row r="203" spans="1:4" x14ac:dyDescent="0.25">
      <c r="A203" s="142" t="s">
        <v>1459</v>
      </c>
      <c r="B203" s="167">
        <v>4.55</v>
      </c>
      <c r="C203" s="167">
        <f>+ROUND($D$3*B203,2)</f>
        <v>0.02</v>
      </c>
      <c r="D203" s="167">
        <f>+SUM(B203:C203)</f>
        <v>4.5699999999999994</v>
      </c>
    </row>
    <row r="204" spans="1:4" x14ac:dyDescent="0.25">
      <c r="A204" s="142" t="s">
        <v>1458</v>
      </c>
      <c r="B204" s="167">
        <v>0.75</v>
      </c>
      <c r="C204" s="167">
        <f>+ROUND($D$4*B204,2)</f>
        <v>0</v>
      </c>
      <c r="D204" s="167">
        <f>+SUM(B204:C204)</f>
        <v>0.75</v>
      </c>
    </row>
    <row r="205" spans="1:4" x14ac:dyDescent="0.25">
      <c r="A205" s="144"/>
      <c r="B205" s="167"/>
      <c r="C205" s="167"/>
      <c r="D205" s="167"/>
    </row>
    <row r="206" spans="1:4" x14ac:dyDescent="0.25">
      <c r="A206" s="149" t="s">
        <v>1399</v>
      </c>
      <c r="B206" s="167">
        <v>1.0900000000000001</v>
      </c>
      <c r="C206" s="167">
        <f>+ROUND($D$2*B206,2)</f>
        <v>0.01</v>
      </c>
      <c r="D206" s="167">
        <f>+SUM(B206:C206)</f>
        <v>1.1000000000000001</v>
      </c>
    </row>
    <row r="207" spans="1:4" x14ac:dyDescent="0.25">
      <c r="B207" s="167"/>
      <c r="C207" s="167"/>
      <c r="D207" s="167"/>
    </row>
    <row r="208" spans="1:4" x14ac:dyDescent="0.25">
      <c r="A208" s="147" t="s">
        <v>1457</v>
      </c>
      <c r="B208" s="146"/>
      <c r="C208" s="146"/>
      <c r="D208" s="146"/>
    </row>
    <row r="209" spans="1:4" x14ac:dyDescent="0.25">
      <c r="A209" s="143" t="s">
        <v>1378</v>
      </c>
      <c r="B209" s="141"/>
      <c r="C209" s="141"/>
      <c r="D209" s="141"/>
    </row>
    <row r="210" spans="1:4" x14ac:dyDescent="0.25">
      <c r="A210" s="142" t="s">
        <v>1455</v>
      </c>
      <c r="B210" s="167">
        <v>44.27</v>
      </c>
      <c r="C210" s="167">
        <f>+ROUND($D$2*B210,2)</f>
        <v>0.21</v>
      </c>
      <c r="D210" s="167">
        <f>+SUM(B210:C210)</f>
        <v>44.480000000000004</v>
      </c>
    </row>
    <row r="211" spans="1:4" x14ac:dyDescent="0.25">
      <c r="A211" s="142" t="s">
        <v>1392</v>
      </c>
      <c r="B211" s="167">
        <v>44.27</v>
      </c>
      <c r="C211" s="167">
        <f>+ROUND($D$2*B211,2)</f>
        <v>0.21</v>
      </c>
      <c r="D211" s="167">
        <f>+SUM(B211:C211)</f>
        <v>44.480000000000004</v>
      </c>
    </row>
    <row r="212" spans="1:4" x14ac:dyDescent="0.25">
      <c r="A212" s="142" t="s">
        <v>1386</v>
      </c>
      <c r="B212" s="167">
        <v>44.27</v>
      </c>
      <c r="C212" s="167">
        <f>+ROUND($D$2*B212,2)</f>
        <v>0.21</v>
      </c>
      <c r="D212" s="167">
        <f>+SUM(B212:C212)</f>
        <v>44.480000000000004</v>
      </c>
    </row>
    <row r="213" spans="1:4" x14ac:dyDescent="0.25">
      <c r="A213" s="142" t="s">
        <v>1385</v>
      </c>
      <c r="B213" s="167">
        <v>44.27</v>
      </c>
      <c r="C213" s="167">
        <f>+ROUND($D$2*B213,2)</f>
        <v>0.21</v>
      </c>
      <c r="D213" s="167">
        <f>+SUM(B213:C213)</f>
        <v>44.480000000000004</v>
      </c>
    </row>
    <row r="214" spans="1:4" x14ac:dyDescent="0.25">
      <c r="B214" s="167"/>
      <c r="C214" s="167"/>
      <c r="D214" s="167"/>
    </row>
    <row r="215" spans="1:4" x14ac:dyDescent="0.25">
      <c r="A215" s="143" t="s">
        <v>1456</v>
      </c>
      <c r="B215" s="167"/>
      <c r="C215" s="167"/>
      <c r="D215" s="167"/>
    </row>
    <row r="216" spans="1:4" x14ac:dyDescent="0.25">
      <c r="A216" s="142" t="s">
        <v>1455</v>
      </c>
      <c r="B216" s="167">
        <v>4.42</v>
      </c>
      <c r="C216" s="167">
        <f>+ROUND($D$2*B216,2)</f>
        <v>0.02</v>
      </c>
      <c r="D216" s="167">
        <f>+SUM(B216:C216)</f>
        <v>4.4399999999999995</v>
      </c>
    </row>
    <row r="217" spans="1:4" x14ac:dyDescent="0.25">
      <c r="A217" s="142" t="s">
        <v>1392</v>
      </c>
      <c r="B217" s="167">
        <v>11.58</v>
      </c>
      <c r="C217" s="167">
        <f>+ROUND($D$2*B217,2)</f>
        <v>0.05</v>
      </c>
      <c r="D217" s="167">
        <f>+SUM(B217:C217)</f>
        <v>11.63</v>
      </c>
    </row>
    <row r="218" spans="1:4" x14ac:dyDescent="0.25">
      <c r="A218" s="142" t="s">
        <v>1386</v>
      </c>
      <c r="B218" s="167">
        <v>14.34</v>
      </c>
      <c r="C218" s="167">
        <f>+ROUND($D$2*B218,2)</f>
        <v>7.0000000000000007E-2</v>
      </c>
      <c r="D218" s="167">
        <f>+SUM(B218:C218)</f>
        <v>14.41</v>
      </c>
    </row>
    <row r="219" spans="1:4" x14ac:dyDescent="0.25">
      <c r="A219" s="142" t="s">
        <v>1385</v>
      </c>
      <c r="B219" s="167">
        <v>17.100000000000001</v>
      </c>
      <c r="C219" s="167">
        <f>+ROUND($D$2*B219,2)</f>
        <v>0.08</v>
      </c>
      <c r="D219" s="167">
        <f>+SUM(B219:C219)</f>
        <v>17.18</v>
      </c>
    </row>
    <row r="220" spans="1:4" x14ac:dyDescent="0.25">
      <c r="B220" s="167"/>
      <c r="C220" s="167"/>
      <c r="D220" s="167"/>
    </row>
    <row r="221" spans="1:4" x14ac:dyDescent="0.25">
      <c r="A221" s="143" t="s">
        <v>1412</v>
      </c>
      <c r="B221" s="167"/>
      <c r="C221" s="167"/>
      <c r="D221" s="167"/>
    </row>
    <row r="222" spans="1:4" x14ac:dyDescent="0.25">
      <c r="A222" s="142" t="s">
        <v>1455</v>
      </c>
      <c r="B222" s="167">
        <v>5.88</v>
      </c>
      <c r="C222" s="167">
        <f>+ROUND($D$2*B222,2)</f>
        <v>0.03</v>
      </c>
      <c r="D222" s="167">
        <f>+SUM(B222:C222)</f>
        <v>5.91</v>
      </c>
    </row>
    <row r="223" spans="1:4" x14ac:dyDescent="0.25">
      <c r="A223" s="142" t="s">
        <v>1392</v>
      </c>
      <c r="B223" s="167">
        <v>12.16</v>
      </c>
      <c r="C223" s="167">
        <f>+ROUND($D$2*B223,2)</f>
        <v>0.06</v>
      </c>
      <c r="D223" s="167">
        <f>+SUM(B223:C223)</f>
        <v>12.22</v>
      </c>
    </row>
    <row r="224" spans="1:4" x14ac:dyDescent="0.25">
      <c r="A224" s="142" t="s">
        <v>1386</v>
      </c>
      <c r="B224" s="167">
        <v>26.02</v>
      </c>
      <c r="C224" s="167">
        <f>+ROUND($D$2*B224,2)</f>
        <v>0.12</v>
      </c>
      <c r="D224" s="167">
        <f>+SUM(B224:C224)</f>
        <v>26.14</v>
      </c>
    </row>
    <row r="225" spans="1:4" x14ac:dyDescent="0.25">
      <c r="A225" s="142" t="s">
        <v>1385</v>
      </c>
      <c r="B225" s="167">
        <v>37.950000000000003</v>
      </c>
      <c r="C225" s="167">
        <f>+ROUND($D$2*B225,2)</f>
        <v>0.18</v>
      </c>
      <c r="D225" s="167">
        <f>+SUM(B225:C225)</f>
        <v>38.130000000000003</v>
      </c>
    </row>
    <row r="226" spans="1:4" x14ac:dyDescent="0.25">
      <c r="B226" s="167"/>
      <c r="C226" s="167"/>
      <c r="D226" s="167"/>
    </row>
    <row r="227" spans="1:4" x14ac:dyDescent="0.25">
      <c r="A227" s="143" t="s">
        <v>1388</v>
      </c>
      <c r="B227" s="167"/>
      <c r="C227" s="167"/>
      <c r="D227" s="167"/>
    </row>
    <row r="228" spans="1:4" x14ac:dyDescent="0.25">
      <c r="A228" s="142" t="s">
        <v>1455</v>
      </c>
      <c r="B228" s="167">
        <v>8.85</v>
      </c>
      <c r="C228" s="167">
        <f>+ROUND($D$2*B228,2)</f>
        <v>0.04</v>
      </c>
      <c r="D228" s="167">
        <f>+SUM(B228:C228)</f>
        <v>8.8899999999999988</v>
      </c>
    </row>
    <row r="229" spans="1:4" x14ac:dyDescent="0.25">
      <c r="A229" s="142" t="s">
        <v>1392</v>
      </c>
      <c r="B229" s="167">
        <v>14.94</v>
      </c>
      <c r="C229" s="167">
        <f>+ROUND($D$2*B229,2)</f>
        <v>7.0000000000000007E-2</v>
      </c>
      <c r="D229" s="167">
        <f>+SUM(B229:C229)</f>
        <v>15.01</v>
      </c>
    </row>
    <row r="230" spans="1:4" x14ac:dyDescent="0.25">
      <c r="A230" s="142" t="s">
        <v>1386</v>
      </c>
      <c r="B230" s="167">
        <v>28.78</v>
      </c>
      <c r="C230" s="167">
        <f>+ROUND($D$2*B230,2)</f>
        <v>0.13</v>
      </c>
      <c r="D230" s="167">
        <f>+SUM(B230:C230)</f>
        <v>28.91</v>
      </c>
    </row>
    <row r="231" spans="1:4" x14ac:dyDescent="0.25">
      <c r="A231" s="142" t="s">
        <v>1385</v>
      </c>
      <c r="B231" s="167">
        <v>39.96</v>
      </c>
      <c r="C231" s="167">
        <f>+ROUND($D$2*B231,2)</f>
        <v>0.19</v>
      </c>
      <c r="D231" s="167">
        <f>+SUM(B231:C231)</f>
        <v>40.15</v>
      </c>
    </row>
    <row r="232" spans="1:4" x14ac:dyDescent="0.25">
      <c r="B232" s="167"/>
      <c r="C232" s="167"/>
      <c r="D232" s="167"/>
    </row>
    <row r="233" spans="1:4" x14ac:dyDescent="0.25">
      <c r="A233" s="149" t="s">
        <v>1454</v>
      </c>
      <c r="B233" s="167">
        <v>2.85</v>
      </c>
      <c r="C233" s="167">
        <f>+ROUND($D$4*B233,2)</f>
        <v>0.01</v>
      </c>
      <c r="D233" s="167">
        <f>+SUM(B233:C233)</f>
        <v>2.86</v>
      </c>
    </row>
    <row r="234" spans="1:4" x14ac:dyDescent="0.25">
      <c r="A234" s="149"/>
      <c r="B234" s="167"/>
      <c r="C234" s="167"/>
      <c r="D234" s="167"/>
    </row>
    <row r="235" spans="1:4" x14ac:dyDescent="0.25">
      <c r="A235" s="173" t="s">
        <v>1531</v>
      </c>
      <c r="B235" s="167">
        <v>23.3</v>
      </c>
      <c r="C235" s="167">
        <f>+ROUND($D$4*B235,2)</f>
        <v>0.11</v>
      </c>
      <c r="D235" s="167">
        <f>SUM(B235:C235)</f>
        <v>23.41</v>
      </c>
    </row>
    <row r="236" spans="1:4" x14ac:dyDescent="0.25">
      <c r="A236" s="144"/>
      <c r="B236" s="141"/>
      <c r="C236" s="141"/>
      <c r="D236" s="141"/>
    </row>
    <row r="237" spans="1:4" x14ac:dyDescent="0.25">
      <c r="A237" s="147" t="s">
        <v>1453</v>
      </c>
      <c r="B237" s="146"/>
      <c r="C237" s="146"/>
      <c r="D237" s="146"/>
    </row>
    <row r="238" spans="1:4" x14ac:dyDescent="0.25">
      <c r="A238" s="143" t="s">
        <v>1452</v>
      </c>
      <c r="B238" s="167"/>
      <c r="C238" s="167"/>
      <c r="D238" s="167"/>
    </row>
    <row r="239" spans="1:4" x14ac:dyDescent="0.25">
      <c r="A239" s="142" t="s">
        <v>1412</v>
      </c>
      <c r="B239" s="167">
        <v>26.72</v>
      </c>
      <c r="C239" s="167">
        <f>+ROUND($D$2*B239,2)</f>
        <v>0.13</v>
      </c>
      <c r="D239" s="167">
        <f>+SUM(B239:C239)</f>
        <v>26.849999999999998</v>
      </c>
    </row>
    <row r="240" spans="1:4" x14ac:dyDescent="0.25">
      <c r="A240" s="142" t="s">
        <v>1451</v>
      </c>
      <c r="B240" s="167">
        <v>31.18</v>
      </c>
      <c r="C240" s="167">
        <f>+ROUND($D$2*B240,2)</f>
        <v>0.15</v>
      </c>
      <c r="D240" s="167">
        <f>+SUM(B240:C240)</f>
        <v>31.33</v>
      </c>
    </row>
    <row r="241" spans="1:4" x14ac:dyDescent="0.25">
      <c r="B241" s="141"/>
      <c r="C241" s="141"/>
      <c r="D241" s="141"/>
    </row>
    <row r="242" spans="1:4" x14ac:dyDescent="0.25">
      <c r="A242" s="147" t="s">
        <v>1450</v>
      </c>
      <c r="B242" s="146"/>
      <c r="C242" s="146"/>
      <c r="D242" s="146"/>
    </row>
    <row r="243" spans="1:4" x14ac:dyDescent="0.25">
      <c r="A243" s="143" t="s">
        <v>1449</v>
      </c>
      <c r="B243" s="141"/>
      <c r="C243" s="141"/>
      <c r="D243" s="141"/>
    </row>
    <row r="244" spans="1:4" x14ac:dyDescent="0.25">
      <c r="A244" s="142" t="s">
        <v>1447</v>
      </c>
      <c r="B244" s="167">
        <v>25.8</v>
      </c>
      <c r="C244" s="167">
        <f>+ROUND($D$2*B244,2)</f>
        <v>0.12</v>
      </c>
      <c r="D244" s="167">
        <f>+SUM(B244:C244)</f>
        <v>25.92</v>
      </c>
    </row>
    <row r="245" spans="1:4" x14ac:dyDescent="0.25">
      <c r="A245" s="142" t="s">
        <v>1406</v>
      </c>
      <c r="B245" s="167">
        <v>25.8</v>
      </c>
      <c r="C245" s="167">
        <f>+ROUND($D$2*B245,2)</f>
        <v>0.12</v>
      </c>
      <c r="D245" s="167">
        <f>+SUM(B245:C245)</f>
        <v>25.92</v>
      </c>
    </row>
    <row r="246" spans="1:4" x14ac:dyDescent="0.25">
      <c r="A246" s="142"/>
      <c r="B246" s="167"/>
      <c r="C246" s="167"/>
      <c r="D246" s="167"/>
    </row>
    <row r="247" spans="1:4" x14ac:dyDescent="0.25">
      <c r="A247" s="143" t="s">
        <v>1448</v>
      </c>
      <c r="B247" s="167"/>
      <c r="C247" s="167"/>
      <c r="D247" s="167"/>
    </row>
    <row r="248" spans="1:4" x14ac:dyDescent="0.25">
      <c r="A248" s="142" t="s">
        <v>1447</v>
      </c>
      <c r="B248" s="167">
        <v>25.8</v>
      </c>
      <c r="C248" s="167">
        <f>+ROUND($D$2*B248,2)</f>
        <v>0.12</v>
      </c>
      <c r="D248" s="167">
        <f>+SUM(B248:C248)</f>
        <v>25.92</v>
      </c>
    </row>
    <row r="249" spans="1:4" x14ac:dyDescent="0.25">
      <c r="A249" s="142" t="s">
        <v>1406</v>
      </c>
      <c r="B249" s="167">
        <v>25.8</v>
      </c>
      <c r="C249" s="167">
        <f>+ROUND($D$2*B249,2)</f>
        <v>0.12</v>
      </c>
      <c r="D249" s="167">
        <f>+SUM(B249:C249)</f>
        <v>25.92</v>
      </c>
    </row>
    <row r="250" spans="1:4" x14ac:dyDescent="0.25">
      <c r="B250" s="167"/>
      <c r="C250" s="167"/>
      <c r="D250" s="167"/>
    </row>
    <row r="251" spans="1:4" x14ac:dyDescent="0.25">
      <c r="A251" s="147" t="s">
        <v>1446</v>
      </c>
      <c r="B251" s="146"/>
      <c r="C251" s="146"/>
      <c r="D251" s="146"/>
    </row>
    <row r="252" spans="1:4" x14ac:dyDescent="0.25">
      <c r="A252" s="143" t="s">
        <v>1445</v>
      </c>
      <c r="B252" s="141"/>
      <c r="C252" s="141"/>
      <c r="D252" s="141"/>
    </row>
    <row r="253" spans="1:4" x14ac:dyDescent="0.25">
      <c r="A253" s="145" t="s">
        <v>1438</v>
      </c>
      <c r="B253" s="141"/>
      <c r="C253" s="141"/>
      <c r="D253" s="141"/>
    </row>
    <row r="254" spans="1:4" x14ac:dyDescent="0.25">
      <c r="A254" s="144" t="s">
        <v>1442</v>
      </c>
      <c r="B254" s="167">
        <v>83.95</v>
      </c>
      <c r="C254" s="167">
        <f>+ROUND($D$2*B254,2)</f>
        <v>0.39</v>
      </c>
      <c r="D254" s="167">
        <f>+SUM(B254:C254)</f>
        <v>84.34</v>
      </c>
    </row>
    <row r="255" spans="1:4" x14ac:dyDescent="0.25">
      <c r="A255" s="144" t="s">
        <v>1441</v>
      </c>
      <c r="B255" s="167">
        <v>87.23</v>
      </c>
      <c r="C255" s="167">
        <f>+ROUND($D$2*B255,2)</f>
        <v>0.41</v>
      </c>
      <c r="D255" s="167">
        <f>+SUM(B255:C255)</f>
        <v>87.64</v>
      </c>
    </row>
    <row r="256" spans="1:4" x14ac:dyDescent="0.25">
      <c r="A256" s="144" t="s">
        <v>1440</v>
      </c>
      <c r="B256" s="167">
        <v>93.77</v>
      </c>
      <c r="C256" s="167">
        <f>+ROUND($D$2*B256,2)</f>
        <v>0.44</v>
      </c>
      <c r="D256" s="167">
        <f>+SUM(B256:C256)</f>
        <v>94.21</v>
      </c>
    </row>
    <row r="257" spans="1:4" x14ac:dyDescent="0.25">
      <c r="A257" s="144" t="s">
        <v>1443</v>
      </c>
      <c r="B257" s="167">
        <v>51.25</v>
      </c>
      <c r="C257" s="167">
        <f>+ROUND($D$2*B257,2)</f>
        <v>0.24</v>
      </c>
      <c r="D257" s="167">
        <f>+SUM(B257:C257)</f>
        <v>51.49</v>
      </c>
    </row>
    <row r="258" spans="1:4" x14ac:dyDescent="0.25">
      <c r="B258" s="167"/>
      <c r="C258" s="167"/>
      <c r="D258" s="167"/>
    </row>
    <row r="259" spans="1:4" x14ac:dyDescent="0.25">
      <c r="A259" s="143" t="s">
        <v>1444</v>
      </c>
      <c r="B259" s="167"/>
      <c r="C259" s="167"/>
      <c r="D259" s="167"/>
    </row>
    <row r="260" spans="1:4" x14ac:dyDescent="0.25">
      <c r="A260" s="145" t="s">
        <v>1438</v>
      </c>
      <c r="B260" s="167"/>
      <c r="C260" s="167"/>
      <c r="D260" s="167"/>
    </row>
    <row r="261" spans="1:4" x14ac:dyDescent="0.25">
      <c r="A261" s="144" t="s">
        <v>1442</v>
      </c>
      <c r="B261" s="167">
        <v>93.77</v>
      </c>
      <c r="C261" s="167">
        <f>+ROUND($D$2*B261,2)</f>
        <v>0.44</v>
      </c>
      <c r="D261" s="167">
        <f>+SUM(B261:C261)</f>
        <v>94.21</v>
      </c>
    </row>
    <row r="262" spans="1:4" x14ac:dyDescent="0.25">
      <c r="A262" s="144" t="s">
        <v>1441</v>
      </c>
      <c r="B262" s="167">
        <v>101.39</v>
      </c>
      <c r="C262" s="167">
        <f>+ROUND($D$2*B262,2)</f>
        <v>0.47</v>
      </c>
      <c r="D262" s="167">
        <f>+SUM(B262:C262)</f>
        <v>101.86</v>
      </c>
    </row>
    <row r="263" spans="1:4" x14ac:dyDescent="0.25">
      <c r="A263" s="144" t="s">
        <v>1440</v>
      </c>
      <c r="B263" s="167">
        <v>103.58</v>
      </c>
      <c r="C263" s="167">
        <f>+ROUND($D$2*B263,2)</f>
        <v>0.48</v>
      </c>
      <c r="D263" s="167">
        <f>+SUM(B263:C263)</f>
        <v>104.06</v>
      </c>
    </row>
    <row r="264" spans="1:4" x14ac:dyDescent="0.25">
      <c r="A264" s="144" t="s">
        <v>1443</v>
      </c>
      <c r="B264" s="167">
        <v>51.25</v>
      </c>
      <c r="C264" s="167">
        <f>+ROUND($D$2*B264,2)</f>
        <v>0.24</v>
      </c>
      <c r="D264" s="167">
        <f>+SUM(B264:C264)</f>
        <v>51.49</v>
      </c>
    </row>
    <row r="265" spans="1:4" x14ac:dyDescent="0.25">
      <c r="B265" s="167"/>
      <c r="C265" s="167"/>
      <c r="D265" s="167"/>
    </row>
    <row r="266" spans="1:4" x14ac:dyDescent="0.25">
      <c r="A266" s="143" t="s">
        <v>1439</v>
      </c>
      <c r="B266" s="167"/>
      <c r="C266" s="167"/>
      <c r="D266" s="167"/>
    </row>
    <row r="267" spans="1:4" x14ac:dyDescent="0.25">
      <c r="A267" s="145" t="s">
        <v>1438</v>
      </c>
      <c r="B267" s="167"/>
      <c r="C267" s="167"/>
      <c r="D267" s="167"/>
    </row>
    <row r="268" spans="1:4" x14ac:dyDescent="0.25">
      <c r="A268" s="144" t="s">
        <v>1437</v>
      </c>
      <c r="B268" s="167">
        <v>138.46</v>
      </c>
      <c r="C268" s="167">
        <f>+ROUND($D$2*B268,2)</f>
        <v>0.65</v>
      </c>
      <c r="D268" s="167">
        <f>+SUM(B268:C268)</f>
        <v>139.11000000000001</v>
      </c>
    </row>
    <row r="269" spans="1:4" x14ac:dyDescent="0.25">
      <c r="A269" s="144" t="s">
        <v>1436</v>
      </c>
      <c r="B269" s="167">
        <v>138.46</v>
      </c>
      <c r="C269" s="167">
        <f>+ROUND($D$2*B269,2)</f>
        <v>0.65</v>
      </c>
      <c r="D269" s="167">
        <f>+SUM(B269:C269)</f>
        <v>139.11000000000001</v>
      </c>
    </row>
    <row r="270" spans="1:4" x14ac:dyDescent="0.25">
      <c r="A270" s="144" t="s">
        <v>1435</v>
      </c>
      <c r="B270" s="167">
        <v>127.56</v>
      </c>
      <c r="C270" s="167">
        <f>+ROUND($D$2*B270,2)</f>
        <v>0.6</v>
      </c>
      <c r="D270" s="167">
        <f>+SUM(B270:C270)</f>
        <v>128.16</v>
      </c>
    </row>
    <row r="271" spans="1:4" x14ac:dyDescent="0.25">
      <c r="B271" s="167"/>
      <c r="C271" s="167"/>
      <c r="D271" s="167"/>
    </row>
    <row r="272" spans="1:4" x14ac:dyDescent="0.25">
      <c r="A272" s="147" t="s">
        <v>1434</v>
      </c>
      <c r="B272" s="146"/>
      <c r="C272" s="146"/>
      <c r="D272" s="146"/>
    </row>
    <row r="273" spans="1:4" x14ac:dyDescent="0.25">
      <c r="A273" s="143" t="s">
        <v>1433</v>
      </c>
      <c r="B273" s="141"/>
      <c r="C273" s="141"/>
      <c r="D273" s="141"/>
    </row>
    <row r="274" spans="1:4" x14ac:dyDescent="0.25">
      <c r="A274" s="142" t="s">
        <v>1431</v>
      </c>
      <c r="B274" s="167">
        <v>3.92</v>
      </c>
      <c r="C274" s="167">
        <f>+ROUND($D$2*B274,2)</f>
        <v>0.02</v>
      </c>
      <c r="D274" s="167">
        <f>+SUM(B274:C274)</f>
        <v>3.94</v>
      </c>
    </row>
    <row r="275" spans="1:4" x14ac:dyDescent="0.25">
      <c r="A275" s="142" t="s">
        <v>1430</v>
      </c>
      <c r="B275" s="167">
        <v>0.54</v>
      </c>
      <c r="C275" s="167">
        <f>+ROUND($D$2*B275,2)</f>
        <v>0</v>
      </c>
      <c r="D275" s="167">
        <f>+SUM(B275:C275)</f>
        <v>0.54</v>
      </c>
    </row>
    <row r="276" spans="1:4" x14ac:dyDescent="0.25">
      <c r="B276" s="167"/>
      <c r="C276" s="167"/>
      <c r="D276" s="167"/>
    </row>
    <row r="277" spans="1:4" x14ac:dyDescent="0.25">
      <c r="A277" s="143" t="s">
        <v>1432</v>
      </c>
      <c r="B277" s="167"/>
      <c r="C277" s="167"/>
      <c r="D277" s="167"/>
    </row>
    <row r="278" spans="1:4" x14ac:dyDescent="0.25">
      <c r="A278" s="142" t="s">
        <v>1431</v>
      </c>
      <c r="B278" s="167">
        <v>5.41</v>
      </c>
      <c r="C278" s="167">
        <f>+ROUND($D$2*B278,2)</f>
        <v>0.03</v>
      </c>
      <c r="D278" s="167">
        <f>+SUM(B278:C278)</f>
        <v>5.44</v>
      </c>
    </row>
    <row r="279" spans="1:4" x14ac:dyDescent="0.25">
      <c r="A279" s="142" t="s">
        <v>1430</v>
      </c>
      <c r="B279" s="167">
        <v>0.54</v>
      </c>
      <c r="C279" s="167">
        <f>+ROUND($D$2*B279,2)</f>
        <v>0</v>
      </c>
      <c r="D279" s="167">
        <f>+SUM(B279:C279)</f>
        <v>0.54</v>
      </c>
    </row>
    <row r="280" spans="1:4" x14ac:dyDescent="0.25">
      <c r="B280" s="141"/>
      <c r="C280" s="141"/>
      <c r="D280" s="141"/>
    </row>
    <row r="281" spans="1:4" x14ac:dyDescent="0.25">
      <c r="A281" s="147" t="s">
        <v>1429</v>
      </c>
      <c r="B281" s="146"/>
      <c r="C281" s="146"/>
      <c r="D281" s="146"/>
    </row>
    <row r="282" spans="1:4" x14ac:dyDescent="0.25">
      <c r="A282" s="143" t="s">
        <v>1428</v>
      </c>
      <c r="B282" s="141"/>
      <c r="C282" s="141"/>
      <c r="D282" s="141"/>
    </row>
    <row r="283" spans="1:4" x14ac:dyDescent="0.25">
      <c r="A283" s="142" t="s">
        <v>1427</v>
      </c>
      <c r="B283" s="167">
        <v>21.8</v>
      </c>
      <c r="C283" s="167">
        <f>+ROUND($D$2*B283,2)</f>
        <v>0.1</v>
      </c>
      <c r="D283" s="167">
        <f>+SUM(B283:C283)</f>
        <v>21.900000000000002</v>
      </c>
    </row>
    <row r="284" spans="1:4" x14ac:dyDescent="0.25">
      <c r="A284" s="142" t="s">
        <v>1426</v>
      </c>
      <c r="B284" s="167">
        <v>21.8</v>
      </c>
      <c r="C284" s="167">
        <f>+ROUND($D$2*B284,2)</f>
        <v>0.1</v>
      </c>
      <c r="D284" s="167">
        <f>+SUM(B284:C284)</f>
        <v>21.900000000000002</v>
      </c>
    </row>
    <row r="285" spans="1:4" x14ac:dyDescent="0.25">
      <c r="B285" s="141"/>
      <c r="C285" s="141"/>
      <c r="D285" s="141"/>
    </row>
    <row r="286" spans="1:4" x14ac:dyDescent="0.25">
      <c r="A286" s="147" t="s">
        <v>1425</v>
      </c>
      <c r="B286" s="146"/>
      <c r="C286" s="146"/>
      <c r="D286" s="146"/>
    </row>
    <row r="287" spans="1:4" x14ac:dyDescent="0.25">
      <c r="A287" s="143" t="s">
        <v>1424</v>
      </c>
      <c r="B287" s="141"/>
      <c r="C287" s="141"/>
      <c r="D287" s="141"/>
    </row>
    <row r="288" spans="1:4" x14ac:dyDescent="0.25">
      <c r="A288" s="142" t="s">
        <v>1421</v>
      </c>
      <c r="B288" s="167">
        <v>7.53</v>
      </c>
      <c r="C288" s="167">
        <f>+ROUND($D$2*B288,2)</f>
        <v>0.04</v>
      </c>
      <c r="D288" s="167">
        <f>+SUM(B288:C288)</f>
        <v>7.57</v>
      </c>
    </row>
    <row r="289" spans="1:4" x14ac:dyDescent="0.25">
      <c r="A289" s="142" t="s">
        <v>1406</v>
      </c>
      <c r="B289" s="167">
        <v>22.57</v>
      </c>
      <c r="C289" s="167">
        <f>+ROUND($D$2*B289,2)</f>
        <v>0.11</v>
      </c>
      <c r="D289" s="167">
        <f>+SUM(B289:C289)</f>
        <v>22.68</v>
      </c>
    </row>
    <row r="290" spans="1:4" x14ac:dyDescent="0.25">
      <c r="B290" s="167"/>
      <c r="C290" s="167"/>
      <c r="D290" s="167"/>
    </row>
    <row r="291" spans="1:4" x14ac:dyDescent="0.25">
      <c r="A291" s="143" t="s">
        <v>1423</v>
      </c>
      <c r="B291" s="167"/>
      <c r="C291" s="167"/>
      <c r="D291" s="167"/>
    </row>
    <row r="292" spans="1:4" x14ac:dyDescent="0.25">
      <c r="A292" s="142" t="s">
        <v>1421</v>
      </c>
      <c r="B292" s="167">
        <v>7.74</v>
      </c>
      <c r="C292" s="167">
        <f>+ROUND($D$2*B292,2)</f>
        <v>0.04</v>
      </c>
      <c r="D292" s="167">
        <f>+SUM(B292:C292)</f>
        <v>7.78</v>
      </c>
    </row>
    <row r="293" spans="1:4" x14ac:dyDescent="0.25">
      <c r="A293" s="142" t="s">
        <v>1406</v>
      </c>
      <c r="B293" s="167">
        <v>30.97</v>
      </c>
      <c r="C293" s="167">
        <f>+ROUND($D$2*B293,2)</f>
        <v>0.14000000000000001</v>
      </c>
      <c r="D293" s="167">
        <f>+SUM(B293:C293)</f>
        <v>31.11</v>
      </c>
    </row>
    <row r="294" spans="1:4" x14ac:dyDescent="0.25">
      <c r="B294" s="167"/>
      <c r="C294" s="167"/>
      <c r="D294" s="167"/>
    </row>
    <row r="295" spans="1:4" x14ac:dyDescent="0.25">
      <c r="A295" s="143" t="s">
        <v>1422</v>
      </c>
      <c r="B295" s="167"/>
      <c r="C295" s="167"/>
      <c r="D295" s="167"/>
    </row>
    <row r="296" spans="1:4" x14ac:dyDescent="0.25">
      <c r="A296" s="142" t="s">
        <v>1421</v>
      </c>
      <c r="B296" s="167">
        <v>7.53</v>
      </c>
      <c r="C296" s="167">
        <f>+ROUND($D$2*B296,2)</f>
        <v>0.04</v>
      </c>
      <c r="D296" s="167">
        <f>+SUM(B296:C296)</f>
        <v>7.57</v>
      </c>
    </row>
    <row r="297" spans="1:4" x14ac:dyDescent="0.25">
      <c r="A297" s="142" t="s">
        <v>1406</v>
      </c>
      <c r="B297" s="167">
        <v>22.57</v>
      </c>
      <c r="C297" s="167">
        <f>+ROUND($D$2*B297,2)</f>
        <v>0.11</v>
      </c>
      <c r="D297" s="167">
        <f>+SUM(B297:C297)</f>
        <v>22.68</v>
      </c>
    </row>
    <row r="298" spans="1:4" x14ac:dyDescent="0.25">
      <c r="B298" s="167"/>
      <c r="C298" s="167"/>
      <c r="D298" s="167"/>
    </row>
    <row r="299" spans="1:4" x14ac:dyDescent="0.25">
      <c r="A299" s="143" t="s">
        <v>1420</v>
      </c>
      <c r="B299" s="167"/>
      <c r="C299" s="167"/>
      <c r="D299" s="167"/>
    </row>
    <row r="300" spans="1:4" x14ac:dyDescent="0.25">
      <c r="A300" s="142" t="s">
        <v>1419</v>
      </c>
      <c r="B300" s="167">
        <v>45.79</v>
      </c>
      <c r="C300" s="167">
        <f>+ROUND($D$2*B300,2)</f>
        <v>0.21</v>
      </c>
      <c r="D300" s="167">
        <f>+SUM(B300:C300)</f>
        <v>46</v>
      </c>
    </row>
    <row r="301" spans="1:4" x14ac:dyDescent="0.25">
      <c r="A301" s="142" t="s">
        <v>1418</v>
      </c>
      <c r="B301" s="167">
        <v>97.31</v>
      </c>
      <c r="C301" s="167">
        <f>+ROUND($D$2*B301,2)</f>
        <v>0.46</v>
      </c>
      <c r="D301" s="167">
        <f>+SUM(B301:C301)</f>
        <v>97.77</v>
      </c>
    </row>
    <row r="302" spans="1:4" x14ac:dyDescent="0.25">
      <c r="B302" s="141"/>
      <c r="C302" s="141"/>
      <c r="D302" s="141"/>
    </row>
    <row r="303" spans="1:4" x14ac:dyDescent="0.25">
      <c r="A303" s="147" t="s">
        <v>1417</v>
      </c>
      <c r="B303" s="146"/>
      <c r="C303" s="146"/>
      <c r="D303" s="146"/>
    </row>
    <row r="304" spans="1:4" x14ac:dyDescent="0.25">
      <c r="A304" s="143" t="s">
        <v>1416</v>
      </c>
      <c r="B304" s="167"/>
      <c r="C304" s="167"/>
      <c r="D304" s="167"/>
    </row>
    <row r="305" spans="1:4" x14ac:dyDescent="0.25">
      <c r="A305" s="142" t="s">
        <v>1415</v>
      </c>
      <c r="B305" s="167">
        <v>168.51</v>
      </c>
      <c r="C305" s="167">
        <v>0</v>
      </c>
      <c r="D305" s="167">
        <f>+SUM(B305:C305)</f>
        <v>168.51</v>
      </c>
    </row>
    <row r="306" spans="1:4" x14ac:dyDescent="0.25">
      <c r="A306" s="142" t="s">
        <v>1414</v>
      </c>
      <c r="B306" s="167">
        <v>40</v>
      </c>
      <c r="C306" s="167">
        <v>0</v>
      </c>
      <c r="D306" s="167">
        <f>+SUM(B306:C306)</f>
        <v>40</v>
      </c>
    </row>
    <row r="307" spans="1:4" x14ac:dyDescent="0.25">
      <c r="A307" s="142" t="s">
        <v>1528</v>
      </c>
      <c r="B307" s="167">
        <v>55</v>
      </c>
      <c r="C307" s="167">
        <v>0</v>
      </c>
      <c r="D307" s="167">
        <f>+SUM(B307:C307)</f>
        <v>55</v>
      </c>
    </row>
    <row r="308" spans="1:4" x14ac:dyDescent="0.25">
      <c r="B308" s="141"/>
      <c r="C308" s="141"/>
      <c r="D308" s="141"/>
    </row>
    <row r="309" spans="1:4" x14ac:dyDescent="0.25">
      <c r="A309" s="147" t="s">
        <v>1413</v>
      </c>
      <c r="B309" s="146"/>
      <c r="C309" s="146"/>
      <c r="D309" s="146"/>
    </row>
    <row r="310" spans="1:4" x14ac:dyDescent="0.25">
      <c r="A310" s="143" t="s">
        <v>1366</v>
      </c>
      <c r="B310" s="141"/>
      <c r="C310" s="141"/>
      <c r="D310" s="141"/>
    </row>
    <row r="311" spans="1:4" x14ac:dyDescent="0.25">
      <c r="A311" s="145" t="s">
        <v>1380</v>
      </c>
      <c r="B311" s="141"/>
      <c r="C311" s="141"/>
      <c r="D311" s="141"/>
    </row>
    <row r="312" spans="1:4" x14ac:dyDescent="0.25">
      <c r="A312" s="144" t="s">
        <v>1410</v>
      </c>
      <c r="B312" s="167">
        <v>23.92</v>
      </c>
      <c r="C312" s="167">
        <f>+ROUND($D$2*B312,2)</f>
        <v>0.11</v>
      </c>
      <c r="D312" s="167">
        <f>+SUM(B312:C312)</f>
        <v>24.03</v>
      </c>
    </row>
    <row r="313" spans="1:4" x14ac:dyDescent="0.25">
      <c r="A313" s="144" t="s">
        <v>1409</v>
      </c>
      <c r="B313" s="167">
        <v>33.1</v>
      </c>
      <c r="C313" s="167">
        <f>+ROUND($D$2*B313,2)</f>
        <v>0.15</v>
      </c>
      <c r="D313" s="167">
        <f>+SUM(B313:C313)</f>
        <v>33.25</v>
      </c>
    </row>
    <row r="314" spans="1:4" x14ac:dyDescent="0.25">
      <c r="A314" s="144" t="s">
        <v>1392</v>
      </c>
      <c r="B314" s="167">
        <v>41.31</v>
      </c>
      <c r="C314" s="167">
        <f>+ROUND($D$2*B314,2)</f>
        <v>0.19</v>
      </c>
      <c r="D314" s="167">
        <f>+SUM(B314:C314)</f>
        <v>41.5</v>
      </c>
    </row>
    <row r="315" spans="1:4" x14ac:dyDescent="0.25">
      <c r="A315" s="144" t="s">
        <v>1386</v>
      </c>
      <c r="B315" s="167">
        <v>77.62</v>
      </c>
      <c r="C315" s="167">
        <f>+ROUND($D$2*B315,2)</f>
        <v>0.36</v>
      </c>
      <c r="D315" s="167">
        <f>+SUM(B315:C315)</f>
        <v>77.98</v>
      </c>
    </row>
    <row r="316" spans="1:4" x14ac:dyDescent="0.25">
      <c r="A316" s="144" t="s">
        <v>1385</v>
      </c>
      <c r="B316" s="167">
        <v>107.26</v>
      </c>
      <c r="C316" s="167">
        <f>+ROUND($D$2*B316,2)</f>
        <v>0.5</v>
      </c>
      <c r="D316" s="167">
        <f>+SUM(B316:C316)</f>
        <v>107.76</v>
      </c>
    </row>
    <row r="317" spans="1:4" x14ac:dyDescent="0.25">
      <c r="B317" s="167"/>
      <c r="C317" s="167"/>
      <c r="D317" s="167"/>
    </row>
    <row r="318" spans="1:4" x14ac:dyDescent="0.25">
      <c r="A318" s="145" t="s">
        <v>1388</v>
      </c>
      <c r="B318" s="167"/>
      <c r="C318" s="167"/>
      <c r="D318" s="167"/>
    </row>
    <row r="319" spans="1:4" x14ac:dyDescent="0.25">
      <c r="A319" s="144" t="s">
        <v>1410</v>
      </c>
      <c r="B319" s="167">
        <v>26.09</v>
      </c>
      <c r="C319" s="167">
        <f>+ROUND($D$2*B319,2)</f>
        <v>0.12</v>
      </c>
      <c r="D319" s="167">
        <f>+SUM(B319:C319)</f>
        <v>26.21</v>
      </c>
    </row>
    <row r="320" spans="1:4" x14ac:dyDescent="0.25">
      <c r="A320" s="144" t="s">
        <v>1409</v>
      </c>
      <c r="B320" s="167">
        <v>35.29</v>
      </c>
      <c r="C320" s="167">
        <f>+ROUND($D$2*B320,2)</f>
        <v>0.17</v>
      </c>
      <c r="D320" s="167">
        <f>+SUM(B320:C320)</f>
        <v>35.46</v>
      </c>
    </row>
    <row r="321" spans="1:4" x14ac:dyDescent="0.25">
      <c r="A321" s="144" t="s">
        <v>1392</v>
      </c>
      <c r="B321" s="167">
        <v>43.49</v>
      </c>
      <c r="C321" s="167">
        <f>+ROUND($D$2*B321,2)</f>
        <v>0.2</v>
      </c>
      <c r="D321" s="167">
        <f>+SUM(B321:C321)</f>
        <v>43.690000000000005</v>
      </c>
    </row>
    <row r="322" spans="1:4" x14ac:dyDescent="0.25">
      <c r="A322" s="144" t="s">
        <v>1386</v>
      </c>
      <c r="B322" s="167">
        <v>79.8</v>
      </c>
      <c r="C322" s="167">
        <f>+ROUND($D$2*B322,2)</f>
        <v>0.37</v>
      </c>
      <c r="D322" s="167">
        <f>+SUM(B322:C322)</f>
        <v>80.17</v>
      </c>
    </row>
    <row r="323" spans="1:4" x14ac:dyDescent="0.25">
      <c r="A323" s="144" t="s">
        <v>1385</v>
      </c>
      <c r="B323" s="167">
        <v>109.44</v>
      </c>
      <c r="C323" s="167">
        <f>+ROUND($D$2*B323,2)</f>
        <v>0.51</v>
      </c>
      <c r="D323" s="167">
        <f>+SUM(B323:C323)</f>
        <v>109.95</v>
      </c>
    </row>
    <row r="324" spans="1:4" x14ac:dyDescent="0.25">
      <c r="B324" s="167"/>
      <c r="C324" s="167"/>
      <c r="D324" s="167"/>
    </row>
    <row r="325" spans="1:4" x14ac:dyDescent="0.25">
      <c r="A325" s="143" t="s">
        <v>1379</v>
      </c>
      <c r="B325" s="167"/>
      <c r="C325" s="167"/>
      <c r="D325" s="167"/>
    </row>
    <row r="326" spans="1:4" x14ac:dyDescent="0.25">
      <c r="A326" s="145" t="s">
        <v>1378</v>
      </c>
      <c r="B326" s="167"/>
      <c r="C326" s="167"/>
      <c r="D326" s="167"/>
    </row>
    <row r="327" spans="1:4" x14ac:dyDescent="0.25">
      <c r="A327" s="144" t="s">
        <v>1410</v>
      </c>
      <c r="B327" s="167">
        <v>42.63</v>
      </c>
      <c r="C327" s="167">
        <f>+ROUND($D$2*B327,2)</f>
        <v>0.2</v>
      </c>
      <c r="D327" s="167">
        <f>+SUM(B327:C327)</f>
        <v>42.830000000000005</v>
      </c>
    </row>
    <row r="328" spans="1:4" x14ac:dyDescent="0.25">
      <c r="A328" s="144" t="s">
        <v>1409</v>
      </c>
      <c r="B328" s="167">
        <v>42.63</v>
      </c>
      <c r="C328" s="167">
        <f>+ROUND($D$2*B328,2)</f>
        <v>0.2</v>
      </c>
      <c r="D328" s="167">
        <f>+SUM(B328:C328)</f>
        <v>42.830000000000005</v>
      </c>
    </row>
    <row r="329" spans="1:4" x14ac:dyDescent="0.25">
      <c r="A329" s="144" t="s">
        <v>1392</v>
      </c>
      <c r="B329" s="167">
        <v>42.63</v>
      </c>
      <c r="C329" s="167">
        <f>+ROUND($D$2*B329,2)</f>
        <v>0.2</v>
      </c>
      <c r="D329" s="167">
        <f>+SUM(B329:C329)</f>
        <v>42.830000000000005</v>
      </c>
    </row>
    <row r="330" spans="1:4" x14ac:dyDescent="0.25">
      <c r="A330" s="144" t="s">
        <v>1386</v>
      </c>
      <c r="B330" s="167">
        <v>42.63</v>
      </c>
      <c r="C330" s="167">
        <f>+ROUND($D$2*B330,2)</f>
        <v>0.2</v>
      </c>
      <c r="D330" s="167">
        <f>+SUM(B330:C330)</f>
        <v>42.830000000000005</v>
      </c>
    </row>
    <row r="331" spans="1:4" x14ac:dyDescent="0.25">
      <c r="A331" s="144" t="s">
        <v>1385</v>
      </c>
      <c r="B331" s="167">
        <v>42.63</v>
      </c>
      <c r="C331" s="167">
        <f>+ROUND($D$2*B331,2)</f>
        <v>0.2</v>
      </c>
      <c r="D331" s="167">
        <f>+SUM(B331:C331)</f>
        <v>42.830000000000005</v>
      </c>
    </row>
    <row r="332" spans="1:4" x14ac:dyDescent="0.25">
      <c r="B332" s="167"/>
      <c r="C332" s="141"/>
      <c r="D332" s="167"/>
    </row>
    <row r="333" spans="1:4" x14ac:dyDescent="0.25">
      <c r="A333" s="145" t="s">
        <v>1412</v>
      </c>
      <c r="B333" s="167"/>
      <c r="C333" s="141"/>
      <c r="D333" s="167"/>
    </row>
    <row r="334" spans="1:4" x14ac:dyDescent="0.25">
      <c r="A334" s="144" t="s">
        <v>1410</v>
      </c>
      <c r="B334" s="167">
        <v>26.09</v>
      </c>
      <c r="C334" s="141">
        <f>+ROUND($D$2*B334,2)</f>
        <v>0.12</v>
      </c>
      <c r="D334" s="167">
        <f>+SUM(B334:C334)</f>
        <v>26.21</v>
      </c>
    </row>
    <row r="335" spans="1:4" x14ac:dyDescent="0.25">
      <c r="A335" s="144" t="s">
        <v>1409</v>
      </c>
      <c r="B335" s="167">
        <v>35.29</v>
      </c>
      <c r="C335" s="141">
        <f>+ROUND($D$2*B335,2)</f>
        <v>0.17</v>
      </c>
      <c r="D335" s="167">
        <f>+SUM(B335:C335)</f>
        <v>35.46</v>
      </c>
    </row>
    <row r="336" spans="1:4" x14ac:dyDescent="0.25">
      <c r="A336" s="144" t="s">
        <v>1392</v>
      </c>
      <c r="B336" s="167">
        <v>43.49</v>
      </c>
      <c r="C336" s="141">
        <f>+ROUND($D$2*B336,2)</f>
        <v>0.2</v>
      </c>
      <c r="D336" s="167">
        <f>+SUM(B336:C336)</f>
        <v>43.690000000000005</v>
      </c>
    </row>
    <row r="337" spans="1:4" x14ac:dyDescent="0.25">
      <c r="A337" s="144" t="s">
        <v>1386</v>
      </c>
      <c r="B337" s="167">
        <v>79.8</v>
      </c>
      <c r="C337" s="141">
        <f>+ROUND($D$2*B337,2)</f>
        <v>0.37</v>
      </c>
      <c r="D337" s="167">
        <f>+SUM(B337:C337)</f>
        <v>80.17</v>
      </c>
    </row>
    <row r="338" spans="1:4" x14ac:dyDescent="0.25">
      <c r="A338" s="144" t="s">
        <v>1385</v>
      </c>
      <c r="B338" s="167">
        <v>109.44</v>
      </c>
      <c r="C338" s="141">
        <f>+ROUND($D$2*B338,2)</f>
        <v>0.51</v>
      </c>
      <c r="D338" s="167">
        <f>+SUM(B338:C338)</f>
        <v>109.95</v>
      </c>
    </row>
    <row r="339" spans="1:4" x14ac:dyDescent="0.25">
      <c r="B339" s="167"/>
      <c r="C339" s="141"/>
      <c r="D339" s="167"/>
    </row>
    <row r="340" spans="1:4" x14ac:dyDescent="0.25">
      <c r="A340" s="143" t="s">
        <v>1411</v>
      </c>
      <c r="B340" s="167"/>
      <c r="C340" s="141"/>
      <c r="D340" s="167"/>
    </row>
    <row r="341" spans="1:4" x14ac:dyDescent="0.25">
      <c r="A341" s="142" t="s">
        <v>1410</v>
      </c>
      <c r="B341" s="167">
        <v>606.61</v>
      </c>
      <c r="C341" s="167">
        <f>+ROUND($D$2*B341,2)</f>
        <v>2.84</v>
      </c>
      <c r="D341" s="167">
        <f>+SUM(B341:C341)</f>
        <v>609.45000000000005</v>
      </c>
    </row>
    <row r="342" spans="1:4" x14ac:dyDescent="0.25">
      <c r="A342" s="142" t="s">
        <v>1409</v>
      </c>
      <c r="B342" s="167">
        <v>657.16</v>
      </c>
      <c r="C342" s="167">
        <f t="shared" ref="C342:C345" si="6">+ROUND($D$2*B342,2)</f>
        <v>3.08</v>
      </c>
      <c r="D342" s="167">
        <f>+SUM(B342:C342)</f>
        <v>660.24</v>
      </c>
    </row>
    <row r="343" spans="1:4" x14ac:dyDescent="0.25">
      <c r="A343" s="142" t="s">
        <v>1392</v>
      </c>
      <c r="B343" s="167">
        <v>707.71</v>
      </c>
      <c r="C343" s="167">
        <f t="shared" si="6"/>
        <v>3.31</v>
      </c>
      <c r="D343" s="167">
        <f>+SUM(B343:C343)</f>
        <v>711.02</v>
      </c>
    </row>
    <row r="344" spans="1:4" x14ac:dyDescent="0.25">
      <c r="A344" s="142" t="s">
        <v>1386</v>
      </c>
      <c r="B344" s="167">
        <v>859.36</v>
      </c>
      <c r="C344" s="167">
        <f t="shared" si="6"/>
        <v>4.0199999999999996</v>
      </c>
      <c r="D344" s="167">
        <f>+SUM(B344:C344)</f>
        <v>863.38</v>
      </c>
    </row>
    <row r="345" spans="1:4" x14ac:dyDescent="0.25">
      <c r="A345" s="142" t="s">
        <v>1385</v>
      </c>
      <c r="B345" s="167">
        <v>1061.56</v>
      </c>
      <c r="C345" s="167">
        <f t="shared" si="6"/>
        <v>4.97</v>
      </c>
      <c r="D345" s="167">
        <f>+SUM(B345:C345)</f>
        <v>1066.53</v>
      </c>
    </row>
    <row r="346" spans="1:4" x14ac:dyDescent="0.25">
      <c r="B346" s="167"/>
      <c r="C346" s="141"/>
      <c r="D346" s="167"/>
    </row>
    <row r="347" spans="1:4" x14ac:dyDescent="0.25">
      <c r="A347" s="149" t="s">
        <v>1399</v>
      </c>
      <c r="B347" s="167">
        <v>1.0900000000000001</v>
      </c>
      <c r="C347" s="141">
        <f>+ROUND($D$2*B347,2)</f>
        <v>0.01</v>
      </c>
      <c r="D347" s="167">
        <f>+SUM(B347:C347)</f>
        <v>1.1000000000000001</v>
      </c>
    </row>
    <row r="348" spans="1:4" x14ac:dyDescent="0.25">
      <c r="B348" s="141"/>
      <c r="C348" s="141"/>
      <c r="D348" s="141"/>
    </row>
    <row r="349" spans="1:4" x14ac:dyDescent="0.25">
      <c r="A349" s="147" t="s">
        <v>1408</v>
      </c>
      <c r="B349" s="146"/>
      <c r="C349" s="146"/>
      <c r="D349" s="146"/>
    </row>
    <row r="350" spans="1:4" x14ac:dyDescent="0.25">
      <c r="A350" s="143" t="s">
        <v>1366</v>
      </c>
      <c r="B350" s="141"/>
      <c r="C350" s="141"/>
      <c r="D350" s="141"/>
    </row>
    <row r="351" spans="1:4" x14ac:dyDescent="0.25">
      <c r="A351" s="145" t="s">
        <v>1387</v>
      </c>
      <c r="B351" s="141"/>
      <c r="C351" s="141"/>
      <c r="D351" s="141"/>
    </row>
    <row r="352" spans="1:4" x14ac:dyDescent="0.25">
      <c r="A352" s="144" t="s">
        <v>1404</v>
      </c>
      <c r="B352" s="167">
        <v>3.95</v>
      </c>
      <c r="C352" s="167">
        <f>+ROUND($D$2*B352,2)</f>
        <v>0.02</v>
      </c>
      <c r="D352" s="167">
        <f>+SUM(B352:C352)</f>
        <v>3.97</v>
      </c>
    </row>
    <row r="353" spans="1:4" x14ac:dyDescent="0.25">
      <c r="A353" s="144" t="s">
        <v>1403</v>
      </c>
      <c r="B353" s="167">
        <v>4.97</v>
      </c>
      <c r="C353" s="167">
        <f>+ROUND($D$2*B353,2)</f>
        <v>0.02</v>
      </c>
      <c r="D353" s="167">
        <f>+SUM(B353:C353)</f>
        <v>4.9899999999999993</v>
      </c>
    </row>
    <row r="354" spans="1:4" x14ac:dyDescent="0.25">
      <c r="A354" s="144" t="s">
        <v>1402</v>
      </c>
      <c r="B354" s="167">
        <v>7.41</v>
      </c>
      <c r="C354" s="167">
        <f>+ROUND($D$2*B354,2)</f>
        <v>0.03</v>
      </c>
      <c r="D354" s="167">
        <f>+SUM(B354:C354)</f>
        <v>7.44</v>
      </c>
    </row>
    <row r="355" spans="1:4" x14ac:dyDescent="0.25">
      <c r="A355" s="144" t="s">
        <v>1401</v>
      </c>
      <c r="B355" s="167">
        <v>10.39</v>
      </c>
      <c r="C355" s="167">
        <f>+ROUND($D$2*B355,2)</f>
        <v>0.05</v>
      </c>
      <c r="D355" s="167">
        <f>+SUM(B355:C355)</f>
        <v>10.440000000000001</v>
      </c>
    </row>
    <row r="356" spans="1:4" x14ac:dyDescent="0.25">
      <c r="A356" s="144"/>
      <c r="B356" s="167"/>
      <c r="C356" s="167"/>
      <c r="D356" s="167"/>
    </row>
    <row r="357" spans="1:4" x14ac:dyDescent="0.25">
      <c r="A357" s="143" t="s">
        <v>1406</v>
      </c>
      <c r="B357" s="167"/>
      <c r="C357" s="167"/>
      <c r="D357" s="167"/>
    </row>
    <row r="358" spans="1:4" s="139" customFormat="1" x14ac:dyDescent="0.25">
      <c r="A358" s="142" t="s">
        <v>1404</v>
      </c>
      <c r="B358" s="167">
        <v>17.12</v>
      </c>
      <c r="C358" s="167">
        <f>+ROUND($D$2*B358,2)</f>
        <v>0.08</v>
      </c>
      <c r="D358" s="167">
        <f>+SUM(B358:C358)</f>
        <v>17.2</v>
      </c>
    </row>
    <row r="359" spans="1:4" s="139" customFormat="1" x14ac:dyDescent="0.25">
      <c r="A359" s="142" t="s">
        <v>1403</v>
      </c>
      <c r="B359" s="167">
        <v>21.54</v>
      </c>
      <c r="C359" s="167">
        <f>+ROUND($D$2*B359,2)</f>
        <v>0.1</v>
      </c>
      <c r="D359" s="167">
        <f>+SUM(B359:C359)</f>
        <v>21.64</v>
      </c>
    </row>
    <row r="360" spans="1:4" s="139" customFormat="1" x14ac:dyDescent="0.25">
      <c r="A360" s="142" t="s">
        <v>1402</v>
      </c>
      <c r="B360" s="167">
        <v>32.159999999999997</v>
      </c>
      <c r="C360" s="167">
        <f>+ROUND($D$2*B360,2)</f>
        <v>0.15</v>
      </c>
      <c r="D360" s="167">
        <f>+SUM(B360:C360)</f>
        <v>32.309999999999995</v>
      </c>
    </row>
    <row r="361" spans="1:4" s="139" customFormat="1" x14ac:dyDescent="0.25">
      <c r="A361" s="142" t="s">
        <v>1401</v>
      </c>
      <c r="B361" s="167">
        <v>45.04</v>
      </c>
      <c r="C361" s="167">
        <f>+ROUND($D$2*B361,2)</f>
        <v>0.21</v>
      </c>
      <c r="D361" s="167">
        <f>+SUM(B361:C361)</f>
        <v>45.25</v>
      </c>
    </row>
    <row r="362" spans="1:4" s="139" customFormat="1" x14ac:dyDescent="0.25">
      <c r="B362" s="174"/>
      <c r="C362" s="174"/>
      <c r="D362" s="174"/>
    </row>
    <row r="363" spans="1:4" s="139" customFormat="1" x14ac:dyDescent="0.25">
      <c r="A363" s="143" t="s">
        <v>1362</v>
      </c>
      <c r="B363" s="174"/>
      <c r="C363" s="174"/>
      <c r="D363" s="174"/>
    </row>
    <row r="364" spans="1:4" s="139" customFormat="1" x14ac:dyDescent="0.25">
      <c r="A364" s="148" t="s">
        <v>1400</v>
      </c>
      <c r="B364" s="167">
        <v>4.8</v>
      </c>
      <c r="C364" s="167">
        <f>+ROUND($D$2*B364,2)</f>
        <v>0.02</v>
      </c>
      <c r="D364" s="167">
        <f>+SUM(B364:C364)</f>
        <v>4.8199999999999994</v>
      </c>
    </row>
    <row r="365" spans="1:4" s="139" customFormat="1" x14ac:dyDescent="0.25">
      <c r="A365" s="142" t="s">
        <v>1399</v>
      </c>
      <c r="B365" s="167">
        <v>1.0900000000000001</v>
      </c>
      <c r="C365" s="167">
        <f>+ROUND($D$2*B365,2)</f>
        <v>0.01</v>
      </c>
      <c r="D365" s="167">
        <f>+SUM(B365:C365)</f>
        <v>1.1000000000000001</v>
      </c>
    </row>
    <row r="366" spans="1:4" x14ac:dyDescent="0.25">
      <c r="B366" s="141"/>
      <c r="C366" s="141"/>
      <c r="D366" s="141"/>
    </row>
    <row r="367" spans="1:4" x14ac:dyDescent="0.25">
      <c r="A367" s="147" t="s">
        <v>1398</v>
      </c>
      <c r="B367" s="146"/>
      <c r="C367" s="146"/>
      <c r="D367" s="146"/>
    </row>
    <row r="368" spans="1:4" x14ac:dyDescent="0.25">
      <c r="A368" s="143" t="s">
        <v>1366</v>
      </c>
      <c r="B368" s="141"/>
      <c r="C368" s="141"/>
      <c r="D368" s="141"/>
    </row>
    <row r="369" spans="1:4" x14ac:dyDescent="0.25">
      <c r="A369" s="145" t="s">
        <v>1387</v>
      </c>
      <c r="B369" s="141"/>
      <c r="C369" s="141"/>
      <c r="D369" s="141"/>
    </row>
    <row r="370" spans="1:4" x14ac:dyDescent="0.25">
      <c r="A370" s="144" t="s">
        <v>1392</v>
      </c>
      <c r="B370" s="167">
        <v>88.22</v>
      </c>
      <c r="C370" s="167">
        <f>+ROUND($D$2*B370,2)</f>
        <v>0.41</v>
      </c>
      <c r="D370" s="167">
        <f>+SUM(B370:C370)</f>
        <v>88.63</v>
      </c>
    </row>
    <row r="371" spans="1:4" x14ac:dyDescent="0.25">
      <c r="A371" s="144" t="s">
        <v>1386</v>
      </c>
      <c r="B371" s="167">
        <v>160.34</v>
      </c>
      <c r="C371" s="167">
        <f>+ROUND($D$2*B371,2)</f>
        <v>0.75</v>
      </c>
      <c r="D371" s="167">
        <f>+SUM(B371:C371)</f>
        <v>161.09</v>
      </c>
    </row>
    <row r="372" spans="1:4" x14ac:dyDescent="0.25">
      <c r="A372" s="144" t="s">
        <v>1385</v>
      </c>
      <c r="B372" s="167">
        <v>225.21</v>
      </c>
      <c r="C372" s="167">
        <f>+ROUND($D$2*B372,2)</f>
        <v>1.05</v>
      </c>
      <c r="D372" s="167">
        <f>+SUM(B372:C372)</f>
        <v>226.26000000000002</v>
      </c>
    </row>
    <row r="373" spans="1:4" x14ac:dyDescent="0.25">
      <c r="A373" s="144"/>
      <c r="B373" s="167"/>
      <c r="C373" s="167"/>
      <c r="D373" s="167"/>
    </row>
    <row r="374" spans="1:4" x14ac:dyDescent="0.25">
      <c r="A374" s="145" t="s">
        <v>1388</v>
      </c>
      <c r="B374" s="167"/>
      <c r="C374" s="167"/>
      <c r="D374" s="167"/>
    </row>
    <row r="375" spans="1:4" x14ac:dyDescent="0.25">
      <c r="A375" s="144" t="s">
        <v>1392</v>
      </c>
      <c r="B375" s="167">
        <v>94.77</v>
      </c>
      <c r="C375" s="167">
        <f>+ROUND($D$2*B375,2)</f>
        <v>0.44</v>
      </c>
      <c r="D375" s="167">
        <f>+SUM(B375:C375)</f>
        <v>95.21</v>
      </c>
    </row>
    <row r="376" spans="1:4" x14ac:dyDescent="0.25">
      <c r="A376" s="144" t="s">
        <v>1386</v>
      </c>
      <c r="B376" s="167">
        <v>166.89</v>
      </c>
      <c r="C376" s="167">
        <f>+ROUND($D$2*B376,2)</f>
        <v>0.78</v>
      </c>
      <c r="D376" s="167">
        <f>+SUM(B376:C376)</f>
        <v>167.67</v>
      </c>
    </row>
    <row r="377" spans="1:4" x14ac:dyDescent="0.25">
      <c r="A377" s="144" t="s">
        <v>1385</v>
      </c>
      <c r="B377" s="167">
        <v>231.75</v>
      </c>
      <c r="C377" s="167">
        <f>+ROUND($D$2*B377,2)</f>
        <v>1.08</v>
      </c>
      <c r="D377" s="167">
        <f>+SUM(B377:C377)</f>
        <v>232.83</v>
      </c>
    </row>
    <row r="378" spans="1:4" x14ac:dyDescent="0.25">
      <c r="B378" s="167"/>
      <c r="C378" s="167"/>
      <c r="D378" s="167"/>
    </row>
    <row r="379" spans="1:4" x14ac:dyDescent="0.25">
      <c r="A379" s="143" t="s">
        <v>1379</v>
      </c>
      <c r="B379" s="167"/>
      <c r="C379" s="167"/>
      <c r="D379" s="167"/>
    </row>
    <row r="380" spans="1:4" x14ac:dyDescent="0.25">
      <c r="A380" s="145" t="s">
        <v>1387</v>
      </c>
      <c r="B380" s="167"/>
      <c r="C380" s="167"/>
      <c r="D380" s="167"/>
    </row>
    <row r="381" spans="1:4" x14ac:dyDescent="0.25">
      <c r="A381" s="144" t="s">
        <v>1392</v>
      </c>
      <c r="B381" s="167">
        <v>94.77</v>
      </c>
      <c r="C381" s="167">
        <f>+ROUND($D$2*B381,2)</f>
        <v>0.44</v>
      </c>
      <c r="D381" s="167">
        <f>+SUM(B381:C381)</f>
        <v>95.21</v>
      </c>
    </row>
    <row r="382" spans="1:4" x14ac:dyDescent="0.25">
      <c r="A382" s="144" t="s">
        <v>1386</v>
      </c>
      <c r="B382" s="167">
        <v>166.89</v>
      </c>
      <c r="C382" s="167">
        <f>+ROUND($D$2*B382,2)</f>
        <v>0.78</v>
      </c>
      <c r="D382" s="167">
        <f>+SUM(B382:C382)</f>
        <v>167.67</v>
      </c>
    </row>
    <row r="383" spans="1:4" x14ac:dyDescent="0.25">
      <c r="A383" s="144" t="s">
        <v>1385</v>
      </c>
      <c r="B383" s="167">
        <v>231.75</v>
      </c>
      <c r="C383" s="167">
        <f>+ROUND($D$2*B383,2)</f>
        <v>1.08</v>
      </c>
      <c r="D383" s="167">
        <f>+SUM(B383:C383)</f>
        <v>232.83</v>
      </c>
    </row>
    <row r="384" spans="1:4" x14ac:dyDescent="0.25">
      <c r="B384" s="167"/>
      <c r="C384" s="167"/>
      <c r="D384" s="167"/>
    </row>
    <row r="385" spans="1:4" s="139" customFormat="1" x14ac:dyDescent="0.25">
      <c r="A385" s="143" t="s">
        <v>1362</v>
      </c>
      <c r="B385" s="174"/>
      <c r="C385" s="174"/>
      <c r="D385" s="174"/>
    </row>
    <row r="386" spans="1:4" x14ac:dyDescent="0.25">
      <c r="A386" s="142" t="s">
        <v>1384</v>
      </c>
      <c r="B386" s="167">
        <v>42.63</v>
      </c>
      <c r="C386" s="167">
        <f>+ROUND($D$2*B386,2)</f>
        <v>0.2</v>
      </c>
      <c r="D386" s="167">
        <f>+SUM(B386:C386)</f>
        <v>42.830000000000005</v>
      </c>
    </row>
    <row r="387" spans="1:4" x14ac:dyDescent="0.25">
      <c r="A387" s="142" t="s">
        <v>1360</v>
      </c>
      <c r="B387" s="167">
        <v>7.14</v>
      </c>
      <c r="C387" s="167">
        <f>+ROUND($D$2*B387,2)</f>
        <v>0.03</v>
      </c>
      <c r="D387" s="167">
        <f>+SUM(B387:C387)</f>
        <v>7.17</v>
      </c>
    </row>
    <row r="388" spans="1:4" x14ac:dyDescent="0.25">
      <c r="B388" s="141"/>
      <c r="C388" s="141"/>
      <c r="D388" s="141"/>
    </row>
    <row r="389" spans="1:4" x14ac:dyDescent="0.25">
      <c r="A389" s="147" t="s">
        <v>1397</v>
      </c>
      <c r="B389" s="146"/>
      <c r="C389" s="146"/>
      <c r="D389" s="146"/>
    </row>
    <row r="390" spans="1:4" x14ac:dyDescent="0.25">
      <c r="A390" s="143" t="s">
        <v>1366</v>
      </c>
      <c r="B390" s="141"/>
      <c r="C390" s="141"/>
      <c r="D390" s="141"/>
    </row>
    <row r="391" spans="1:4" x14ac:dyDescent="0.25">
      <c r="A391" s="145" t="s">
        <v>1387</v>
      </c>
      <c r="B391" s="167"/>
      <c r="C391" s="167"/>
      <c r="D391" s="167"/>
    </row>
    <row r="392" spans="1:4" x14ac:dyDescent="0.25">
      <c r="A392" s="144" t="s">
        <v>1392</v>
      </c>
      <c r="B392" s="167">
        <v>112.49</v>
      </c>
      <c r="C392" s="167">
        <f>+ROUND($D$2*B392,2)</f>
        <v>0.53</v>
      </c>
      <c r="D392" s="167">
        <f>+SUM(B392:C392)</f>
        <v>113.02</v>
      </c>
    </row>
    <row r="393" spans="1:4" x14ac:dyDescent="0.25">
      <c r="A393" s="144" t="s">
        <v>1390</v>
      </c>
      <c r="B393" s="167">
        <v>153.96</v>
      </c>
      <c r="C393" s="167">
        <f>+ROUND($D$2*B393,2)</f>
        <v>0.72</v>
      </c>
      <c r="D393" s="167">
        <f>+SUM(B393:C393)</f>
        <v>154.68</v>
      </c>
    </row>
    <row r="394" spans="1:4" x14ac:dyDescent="0.25">
      <c r="A394" s="144" t="s">
        <v>1386</v>
      </c>
      <c r="B394" s="167">
        <v>191.32</v>
      </c>
      <c r="C394" s="167">
        <f>+ROUND($D$2*B394,2)</f>
        <v>0.9</v>
      </c>
      <c r="D394" s="167">
        <f>+SUM(B394:C394)</f>
        <v>192.22</v>
      </c>
    </row>
    <row r="395" spans="1:4" x14ac:dyDescent="0.25">
      <c r="A395" s="144" t="s">
        <v>1385</v>
      </c>
      <c r="B395" s="167">
        <v>283.69</v>
      </c>
      <c r="C395" s="167">
        <f>+ROUND($D$2*B395,2)</f>
        <v>1.33</v>
      </c>
      <c r="D395" s="167">
        <f>+SUM(B395:C395)</f>
        <v>285.02</v>
      </c>
    </row>
    <row r="396" spans="1:4" x14ac:dyDescent="0.25">
      <c r="A396" s="144"/>
      <c r="B396" s="167"/>
      <c r="C396" s="167"/>
      <c r="D396" s="167"/>
    </row>
    <row r="397" spans="1:4" x14ac:dyDescent="0.25">
      <c r="A397" s="145" t="s">
        <v>1388</v>
      </c>
      <c r="B397" s="167"/>
      <c r="C397" s="167"/>
      <c r="D397" s="167"/>
    </row>
    <row r="398" spans="1:4" x14ac:dyDescent="0.25">
      <c r="A398" s="144" t="s">
        <v>1392</v>
      </c>
      <c r="B398" s="167">
        <v>119.03</v>
      </c>
      <c r="C398" s="167">
        <f>+ROUND($D$2*B398,2)</f>
        <v>0.56000000000000005</v>
      </c>
      <c r="D398" s="167">
        <f>+SUM(B398:C398)</f>
        <v>119.59</v>
      </c>
    </row>
    <row r="399" spans="1:4" x14ac:dyDescent="0.25">
      <c r="A399" s="144" t="s">
        <v>1390</v>
      </c>
      <c r="B399" s="167">
        <v>160.49</v>
      </c>
      <c r="C399" s="167">
        <f>+ROUND($D$2*B399,2)</f>
        <v>0.75</v>
      </c>
      <c r="D399" s="167">
        <f>+SUM(B399:C399)</f>
        <v>161.24</v>
      </c>
    </row>
    <row r="400" spans="1:4" x14ac:dyDescent="0.25">
      <c r="A400" s="144" t="s">
        <v>1386</v>
      </c>
      <c r="B400" s="167">
        <v>197.86</v>
      </c>
      <c r="C400" s="167">
        <f>+ROUND($D$2*B400,2)</f>
        <v>0.93</v>
      </c>
      <c r="D400" s="167">
        <f>+SUM(B400:C400)</f>
        <v>198.79000000000002</v>
      </c>
    </row>
    <row r="401" spans="1:4" x14ac:dyDescent="0.25">
      <c r="A401" s="144" t="s">
        <v>1385</v>
      </c>
      <c r="B401" s="167">
        <v>290.23</v>
      </c>
      <c r="C401" s="167">
        <f>+ROUND($D$2*B401,2)</f>
        <v>1.36</v>
      </c>
      <c r="D401" s="167">
        <f>+SUM(B401:C401)</f>
        <v>291.59000000000003</v>
      </c>
    </row>
    <row r="402" spans="1:4" x14ac:dyDescent="0.25">
      <c r="B402" s="167"/>
      <c r="C402" s="167"/>
      <c r="D402" s="167"/>
    </row>
    <row r="403" spans="1:4" x14ac:dyDescent="0.25">
      <c r="A403" s="143" t="s">
        <v>1379</v>
      </c>
      <c r="B403" s="167"/>
      <c r="C403" s="167"/>
      <c r="D403" s="167"/>
    </row>
    <row r="404" spans="1:4" x14ac:dyDescent="0.25">
      <c r="A404" s="145" t="s">
        <v>1387</v>
      </c>
      <c r="B404" s="167"/>
      <c r="C404" s="167"/>
      <c r="D404" s="167"/>
    </row>
    <row r="405" spans="1:4" x14ac:dyDescent="0.25">
      <c r="A405" s="144" t="s">
        <v>1392</v>
      </c>
      <c r="B405" s="167">
        <v>119.03</v>
      </c>
      <c r="C405" s="167">
        <f>+ROUND($D$2*B405,2)</f>
        <v>0.56000000000000005</v>
      </c>
      <c r="D405" s="167">
        <f>+SUM(B405:C405)</f>
        <v>119.59</v>
      </c>
    </row>
    <row r="406" spans="1:4" x14ac:dyDescent="0.25">
      <c r="A406" s="144" t="s">
        <v>1390</v>
      </c>
      <c r="B406" s="167">
        <v>160.49</v>
      </c>
      <c r="C406" s="167">
        <f>+ROUND($D$2*B406,2)</f>
        <v>0.75</v>
      </c>
      <c r="D406" s="167">
        <f>+SUM(B406:C406)</f>
        <v>161.24</v>
      </c>
    </row>
    <row r="407" spans="1:4" x14ac:dyDescent="0.25">
      <c r="A407" s="144" t="s">
        <v>1386</v>
      </c>
      <c r="B407" s="167">
        <v>197.86</v>
      </c>
      <c r="C407" s="167">
        <f>+ROUND($D$2*B407,2)</f>
        <v>0.93</v>
      </c>
      <c r="D407" s="167">
        <f>+SUM(B407:C407)</f>
        <v>198.79000000000002</v>
      </c>
    </row>
    <row r="408" spans="1:4" x14ac:dyDescent="0.25">
      <c r="A408" s="144" t="s">
        <v>1385</v>
      </c>
      <c r="B408" s="167">
        <v>290.23</v>
      </c>
      <c r="C408" s="167">
        <f>+ROUND($D$2*B408,2)</f>
        <v>1.36</v>
      </c>
      <c r="D408" s="167">
        <f>+SUM(B408:C408)</f>
        <v>291.59000000000003</v>
      </c>
    </row>
    <row r="409" spans="1:4" x14ac:dyDescent="0.25">
      <c r="B409" s="167"/>
      <c r="C409" s="167"/>
      <c r="D409" s="167"/>
    </row>
    <row r="410" spans="1:4" s="139" customFormat="1" x14ac:dyDescent="0.25">
      <c r="A410" s="143" t="s">
        <v>1362</v>
      </c>
      <c r="B410" s="174"/>
      <c r="C410" s="174"/>
      <c r="D410" s="174"/>
    </row>
    <row r="411" spans="1:4" x14ac:dyDescent="0.25">
      <c r="A411" s="142" t="s">
        <v>1384</v>
      </c>
      <c r="B411" s="167">
        <v>42.63</v>
      </c>
      <c r="C411" s="167">
        <f>+ROUND($D$2*B411,2)</f>
        <v>0.2</v>
      </c>
      <c r="D411" s="167">
        <f>+SUM(B411:C411)</f>
        <v>42.830000000000005</v>
      </c>
    </row>
    <row r="412" spans="1:4" x14ac:dyDescent="0.25">
      <c r="A412" s="142" t="s">
        <v>1360</v>
      </c>
      <c r="B412" s="167">
        <v>7.14</v>
      </c>
      <c r="C412" s="167">
        <f>+ROUND($D$2*B412,2)</f>
        <v>0.03</v>
      </c>
      <c r="D412" s="167">
        <f>+SUM(B412:C412)</f>
        <v>7.17</v>
      </c>
    </row>
    <row r="413" spans="1:4" x14ac:dyDescent="0.25">
      <c r="A413" s="142"/>
      <c r="B413" s="141"/>
      <c r="C413" s="141"/>
      <c r="D413" s="141"/>
    </row>
    <row r="414" spans="1:4" x14ac:dyDescent="0.25">
      <c r="A414" s="147" t="s">
        <v>1396</v>
      </c>
      <c r="B414" s="146"/>
      <c r="C414" s="146"/>
      <c r="D414" s="146"/>
    </row>
    <row r="415" spans="1:4" x14ac:dyDescent="0.25">
      <c r="A415" s="143" t="s">
        <v>1366</v>
      </c>
      <c r="B415" s="141"/>
      <c r="C415" s="141"/>
      <c r="D415" s="141"/>
    </row>
    <row r="416" spans="1:4" x14ac:dyDescent="0.25">
      <c r="A416" s="145" t="s">
        <v>1387</v>
      </c>
      <c r="B416" s="167"/>
      <c r="C416" s="167"/>
      <c r="D416" s="167"/>
    </row>
    <row r="417" spans="1:4" x14ac:dyDescent="0.25">
      <c r="A417" s="144" t="s">
        <v>1390</v>
      </c>
      <c r="B417" s="167">
        <v>195.83</v>
      </c>
      <c r="C417" s="167">
        <f>+ROUND($D$2*B417,2)</f>
        <v>0.92</v>
      </c>
      <c r="D417" s="167">
        <f>+SUM(B417:C417)</f>
        <v>196.75</v>
      </c>
    </row>
    <row r="418" spans="1:4" x14ac:dyDescent="0.25">
      <c r="A418" s="144" t="s">
        <v>1386</v>
      </c>
      <c r="B418" s="167">
        <v>257.36</v>
      </c>
      <c r="C418" s="167">
        <f>+ROUND($D$2*B418,2)</f>
        <v>1.2</v>
      </c>
      <c r="D418" s="167">
        <f>+SUM(B418:C418)</f>
        <v>258.56</v>
      </c>
    </row>
    <row r="419" spans="1:4" x14ac:dyDescent="0.25">
      <c r="A419" s="144" t="s">
        <v>1385</v>
      </c>
      <c r="B419" s="167">
        <v>365.98</v>
      </c>
      <c r="C419" s="167">
        <f>+ROUND($D$2*B419,2)</f>
        <v>1.71</v>
      </c>
      <c r="D419" s="167">
        <f>+SUM(B419:C419)</f>
        <v>367.69</v>
      </c>
    </row>
    <row r="420" spans="1:4" x14ac:dyDescent="0.25">
      <c r="A420" s="144"/>
      <c r="B420" s="167"/>
      <c r="C420" s="167"/>
      <c r="D420" s="167"/>
    </row>
    <row r="421" spans="1:4" x14ac:dyDescent="0.25">
      <c r="A421" s="145" t="s">
        <v>1388</v>
      </c>
      <c r="B421" s="167"/>
      <c r="C421" s="167"/>
      <c r="D421" s="167"/>
    </row>
    <row r="422" spans="1:4" x14ac:dyDescent="0.25">
      <c r="A422" s="144" t="s">
        <v>1390</v>
      </c>
      <c r="B422" s="167">
        <v>202.37</v>
      </c>
      <c r="C422" s="167">
        <f>+ROUND($D$2*B422,2)</f>
        <v>0.95</v>
      </c>
      <c r="D422" s="167">
        <f>+SUM(B422:C422)</f>
        <v>203.32</v>
      </c>
    </row>
    <row r="423" spans="1:4" x14ac:dyDescent="0.25">
      <c r="A423" s="144" t="s">
        <v>1386</v>
      </c>
      <c r="B423" s="167">
        <v>263.91000000000003</v>
      </c>
      <c r="C423" s="167">
        <f>+ROUND($D$2*B423,2)</f>
        <v>1.24</v>
      </c>
      <c r="D423" s="167">
        <f>+SUM(B423:C423)</f>
        <v>265.15000000000003</v>
      </c>
    </row>
    <row r="424" spans="1:4" x14ac:dyDescent="0.25">
      <c r="A424" s="144" t="s">
        <v>1385</v>
      </c>
      <c r="B424" s="167">
        <v>372.53</v>
      </c>
      <c r="C424" s="167">
        <f>+ROUND($D$2*B424,2)</f>
        <v>1.74</v>
      </c>
      <c r="D424" s="167">
        <f>+SUM(B424:C424)</f>
        <v>374.27</v>
      </c>
    </row>
    <row r="425" spans="1:4" x14ac:dyDescent="0.25">
      <c r="B425" s="167"/>
      <c r="C425" s="167"/>
      <c r="D425" s="167"/>
    </row>
    <row r="426" spans="1:4" x14ac:dyDescent="0.25">
      <c r="A426" s="143" t="s">
        <v>1379</v>
      </c>
      <c r="B426" s="167"/>
      <c r="C426" s="167"/>
      <c r="D426" s="167"/>
    </row>
    <row r="427" spans="1:4" x14ac:dyDescent="0.25">
      <c r="A427" s="145" t="s">
        <v>1387</v>
      </c>
      <c r="B427" s="167"/>
      <c r="C427" s="167"/>
      <c r="D427" s="167"/>
    </row>
    <row r="428" spans="1:4" x14ac:dyDescent="0.25">
      <c r="A428" s="144" t="s">
        <v>1390</v>
      </c>
      <c r="B428" s="167">
        <v>202.37</v>
      </c>
      <c r="C428" s="167">
        <f>+ROUND($D$2*B428,2)</f>
        <v>0.95</v>
      </c>
      <c r="D428" s="167">
        <f>+SUM(B428:C428)</f>
        <v>203.32</v>
      </c>
    </row>
    <row r="429" spans="1:4" x14ac:dyDescent="0.25">
      <c r="A429" s="144" t="s">
        <v>1386</v>
      </c>
      <c r="B429" s="167">
        <v>263.91000000000003</v>
      </c>
      <c r="C429" s="167">
        <f>+ROUND($D$2*B429,2)</f>
        <v>1.24</v>
      </c>
      <c r="D429" s="167">
        <f>+SUM(B429:C429)</f>
        <v>265.15000000000003</v>
      </c>
    </row>
    <row r="430" spans="1:4" x14ac:dyDescent="0.25">
      <c r="A430" s="144" t="s">
        <v>1385</v>
      </c>
      <c r="B430" s="167">
        <v>372.53</v>
      </c>
      <c r="C430" s="167">
        <f>+ROUND($D$2*B430,2)</f>
        <v>1.74</v>
      </c>
      <c r="D430" s="167">
        <f>+SUM(B430:C430)</f>
        <v>374.27</v>
      </c>
    </row>
    <row r="431" spans="1:4" x14ac:dyDescent="0.25">
      <c r="B431" s="167"/>
      <c r="C431" s="167"/>
      <c r="D431" s="167"/>
    </row>
    <row r="432" spans="1:4" s="139" customFormat="1" x14ac:dyDescent="0.25">
      <c r="A432" s="143" t="s">
        <v>1362</v>
      </c>
      <c r="B432" s="174"/>
      <c r="C432" s="174"/>
      <c r="D432" s="174"/>
    </row>
    <row r="433" spans="1:4" x14ac:dyDescent="0.25">
      <c r="A433" s="142" t="s">
        <v>1384</v>
      </c>
      <c r="B433" s="167">
        <v>42.63</v>
      </c>
      <c r="C433" s="167">
        <f>+ROUND($D$2*B433,2)</f>
        <v>0.2</v>
      </c>
      <c r="D433" s="167">
        <f>+SUM(B433:C433)</f>
        <v>42.830000000000005</v>
      </c>
    </row>
    <row r="434" spans="1:4" x14ac:dyDescent="0.25">
      <c r="A434" s="142" t="s">
        <v>1360</v>
      </c>
      <c r="B434" s="167">
        <v>7.14</v>
      </c>
      <c r="C434" s="167">
        <f>+ROUND($D$2*B434,2)</f>
        <v>0.03</v>
      </c>
      <c r="D434" s="167">
        <f>+SUM(B434:C434)</f>
        <v>7.17</v>
      </c>
    </row>
    <row r="435" spans="1:4" x14ac:dyDescent="0.25">
      <c r="B435" s="141"/>
      <c r="C435" s="141"/>
      <c r="D435" s="141"/>
    </row>
    <row r="436" spans="1:4" x14ac:dyDescent="0.25">
      <c r="A436" s="147" t="s">
        <v>1395</v>
      </c>
      <c r="B436" s="146"/>
      <c r="C436" s="146"/>
      <c r="D436" s="146"/>
    </row>
    <row r="437" spans="1:4" x14ac:dyDescent="0.25">
      <c r="A437" s="143" t="s">
        <v>1366</v>
      </c>
      <c r="B437" s="141"/>
      <c r="C437" s="141"/>
      <c r="D437" s="141"/>
    </row>
    <row r="438" spans="1:4" x14ac:dyDescent="0.25">
      <c r="A438" s="145" t="s">
        <v>1387</v>
      </c>
      <c r="B438" s="141"/>
      <c r="C438" s="141"/>
      <c r="D438" s="141"/>
    </row>
    <row r="439" spans="1:4" x14ac:dyDescent="0.25">
      <c r="A439" s="144" t="s">
        <v>1386</v>
      </c>
      <c r="B439" s="167">
        <v>291.48</v>
      </c>
      <c r="C439" s="167">
        <f>+ROUND($D$2*B439,2)</f>
        <v>1.36</v>
      </c>
      <c r="D439" s="167">
        <f>+SUM(B439:C439)</f>
        <v>292.84000000000003</v>
      </c>
    </row>
    <row r="440" spans="1:4" x14ac:dyDescent="0.25">
      <c r="A440" s="144" t="s">
        <v>1385</v>
      </c>
      <c r="B440" s="167">
        <v>414.32</v>
      </c>
      <c r="C440" s="167">
        <f>+ROUND($D$2*B440,2)</f>
        <v>1.94</v>
      </c>
      <c r="D440" s="167">
        <f>+SUM(B440:C440)</f>
        <v>416.26</v>
      </c>
    </row>
    <row r="441" spans="1:4" x14ac:dyDescent="0.25">
      <c r="A441" s="144"/>
      <c r="B441" s="167"/>
      <c r="C441" s="167"/>
      <c r="D441" s="167"/>
    </row>
    <row r="442" spans="1:4" x14ac:dyDescent="0.25">
      <c r="A442" s="145" t="s">
        <v>1388</v>
      </c>
      <c r="B442" s="167"/>
      <c r="C442" s="167"/>
      <c r="D442" s="167"/>
    </row>
    <row r="443" spans="1:4" x14ac:dyDescent="0.25">
      <c r="A443" s="144" t="s">
        <v>1386</v>
      </c>
      <c r="B443" s="167">
        <v>298.02</v>
      </c>
      <c r="C443" s="167">
        <f>+ROUND($D$2*B443,2)</f>
        <v>1.39</v>
      </c>
      <c r="D443" s="167">
        <f>+SUM(B443:C443)</f>
        <v>299.40999999999997</v>
      </c>
    </row>
    <row r="444" spans="1:4" x14ac:dyDescent="0.25">
      <c r="A444" s="144" t="s">
        <v>1385</v>
      </c>
      <c r="B444" s="167">
        <v>420.86</v>
      </c>
      <c r="C444" s="167">
        <f>+ROUND($D$2*B444,2)</f>
        <v>1.97</v>
      </c>
      <c r="D444" s="167">
        <f>+SUM(B444:C444)</f>
        <v>422.83000000000004</v>
      </c>
    </row>
    <row r="445" spans="1:4" x14ac:dyDescent="0.25">
      <c r="B445" s="167"/>
      <c r="C445" s="167"/>
      <c r="D445" s="167"/>
    </row>
    <row r="446" spans="1:4" x14ac:dyDescent="0.25">
      <c r="A446" s="143" t="s">
        <v>1379</v>
      </c>
      <c r="B446" s="167"/>
      <c r="C446" s="167"/>
      <c r="D446" s="167"/>
    </row>
    <row r="447" spans="1:4" x14ac:dyDescent="0.25">
      <c r="A447" s="145" t="s">
        <v>1387</v>
      </c>
      <c r="B447" s="167"/>
      <c r="C447" s="167"/>
      <c r="D447" s="167"/>
    </row>
    <row r="448" spans="1:4" x14ac:dyDescent="0.25">
      <c r="A448" s="144" t="s">
        <v>1386</v>
      </c>
      <c r="B448" s="167">
        <v>298.02</v>
      </c>
      <c r="C448" s="167">
        <f>+ROUND($D$2*B448,2)</f>
        <v>1.39</v>
      </c>
      <c r="D448" s="167">
        <f>+SUM(B448:C448)</f>
        <v>299.40999999999997</v>
      </c>
    </row>
    <row r="449" spans="1:4" x14ac:dyDescent="0.25">
      <c r="A449" s="144" t="s">
        <v>1385</v>
      </c>
      <c r="B449" s="167">
        <v>420.86</v>
      </c>
      <c r="C449" s="167">
        <f>+ROUND($D$2*B449,2)</f>
        <v>1.97</v>
      </c>
      <c r="D449" s="167">
        <f>+SUM(B449:C449)</f>
        <v>422.83000000000004</v>
      </c>
    </row>
    <row r="450" spans="1:4" x14ac:dyDescent="0.25">
      <c r="B450" s="167"/>
      <c r="C450" s="167"/>
      <c r="D450" s="167"/>
    </row>
    <row r="451" spans="1:4" s="139" customFormat="1" x14ac:dyDescent="0.25">
      <c r="A451" s="143" t="s">
        <v>1362</v>
      </c>
      <c r="B451" s="174"/>
      <c r="C451" s="174"/>
      <c r="D451" s="174"/>
    </row>
    <row r="452" spans="1:4" x14ac:dyDescent="0.25">
      <c r="A452" s="142" t="s">
        <v>1384</v>
      </c>
      <c r="B452" s="167">
        <v>42.63</v>
      </c>
      <c r="C452" s="167">
        <f>+ROUND($D$2*B452,2)</f>
        <v>0.2</v>
      </c>
      <c r="D452" s="167">
        <f>+SUM(B452:C452)</f>
        <v>42.830000000000005</v>
      </c>
    </row>
    <row r="453" spans="1:4" x14ac:dyDescent="0.25">
      <c r="A453" s="142" t="s">
        <v>1360</v>
      </c>
      <c r="B453" s="167">
        <v>7.14</v>
      </c>
      <c r="C453" s="167">
        <f>+ROUND($D$2*B453,2)</f>
        <v>0.03</v>
      </c>
      <c r="D453" s="167">
        <f>+SUM(B453:C453)</f>
        <v>7.17</v>
      </c>
    </row>
    <row r="454" spans="1:4" x14ac:dyDescent="0.25">
      <c r="B454" s="141"/>
      <c r="C454" s="141"/>
      <c r="D454" s="141"/>
    </row>
    <row r="455" spans="1:4" x14ac:dyDescent="0.25">
      <c r="A455" s="147" t="s">
        <v>1394</v>
      </c>
      <c r="B455" s="146"/>
      <c r="C455" s="146"/>
      <c r="D455" s="146"/>
    </row>
    <row r="456" spans="1:4" x14ac:dyDescent="0.25">
      <c r="A456" s="143" t="s">
        <v>1366</v>
      </c>
      <c r="B456" s="141"/>
      <c r="C456" s="141"/>
      <c r="D456" s="141"/>
    </row>
    <row r="457" spans="1:4" x14ac:dyDescent="0.25">
      <c r="A457" s="145" t="s">
        <v>1387</v>
      </c>
      <c r="B457" s="141"/>
      <c r="C457" s="141"/>
      <c r="D457" s="141"/>
    </row>
    <row r="458" spans="1:4" x14ac:dyDescent="0.25">
      <c r="A458" s="144" t="s">
        <v>1392</v>
      </c>
      <c r="B458" s="167">
        <v>106.69</v>
      </c>
      <c r="C458" s="167">
        <f>+ROUND($D$2*B458,2)</f>
        <v>0.5</v>
      </c>
      <c r="D458" s="167">
        <f>+SUM(B458:C458)</f>
        <v>107.19</v>
      </c>
    </row>
    <row r="459" spans="1:4" x14ac:dyDescent="0.25">
      <c r="A459" s="144" t="s">
        <v>1386</v>
      </c>
      <c r="B459" s="167">
        <v>197.24</v>
      </c>
      <c r="C459" s="167">
        <f>+ROUND($D$2*B459,2)</f>
        <v>0.92</v>
      </c>
      <c r="D459" s="167">
        <f>+SUM(B459:C459)</f>
        <v>198.16</v>
      </c>
    </row>
    <row r="460" spans="1:4" x14ac:dyDescent="0.25">
      <c r="A460" s="144" t="s">
        <v>1385</v>
      </c>
      <c r="B460" s="167">
        <v>280.56</v>
      </c>
      <c r="C460" s="167">
        <f>+ROUND($D$2*B460,2)</f>
        <v>1.31</v>
      </c>
      <c r="D460" s="167">
        <f>+SUM(B460:C460)</f>
        <v>281.87</v>
      </c>
    </row>
    <row r="461" spans="1:4" x14ac:dyDescent="0.25">
      <c r="A461" s="144"/>
      <c r="B461" s="167"/>
      <c r="C461" s="167"/>
      <c r="D461" s="167"/>
    </row>
    <row r="462" spans="1:4" x14ac:dyDescent="0.25">
      <c r="A462" s="145" t="s">
        <v>1388</v>
      </c>
      <c r="B462" s="167"/>
      <c r="C462" s="167"/>
      <c r="D462" s="167"/>
    </row>
    <row r="463" spans="1:4" x14ac:dyDescent="0.25">
      <c r="A463" s="144" t="s">
        <v>1392</v>
      </c>
      <c r="B463" s="167">
        <v>113.23</v>
      </c>
      <c r="C463" s="167">
        <f>+ROUND($D$2*B463,2)</f>
        <v>0.53</v>
      </c>
      <c r="D463" s="167">
        <f>+SUM(B463:C463)</f>
        <v>113.76</v>
      </c>
    </row>
    <row r="464" spans="1:4" x14ac:dyDescent="0.25">
      <c r="A464" s="144" t="s">
        <v>1386</v>
      </c>
      <c r="B464" s="167">
        <v>203.77</v>
      </c>
      <c r="C464" s="167">
        <f>+ROUND($D$2*B464,2)</f>
        <v>0.95</v>
      </c>
      <c r="D464" s="167">
        <f>+SUM(B464:C464)</f>
        <v>204.72</v>
      </c>
    </row>
    <row r="465" spans="1:4" x14ac:dyDescent="0.25">
      <c r="A465" s="144" t="s">
        <v>1385</v>
      </c>
      <c r="B465" s="167">
        <v>287.11</v>
      </c>
      <c r="C465" s="167">
        <f>+ROUND($D$2*B465,2)</f>
        <v>1.34</v>
      </c>
      <c r="D465" s="167">
        <f>+SUM(B465:C465)</f>
        <v>288.45</v>
      </c>
    </row>
    <row r="466" spans="1:4" x14ac:dyDescent="0.25">
      <c r="B466" s="167"/>
      <c r="C466" s="167"/>
      <c r="D466" s="167"/>
    </row>
    <row r="467" spans="1:4" x14ac:dyDescent="0.25">
      <c r="A467" s="143" t="s">
        <v>1379</v>
      </c>
      <c r="B467" s="167"/>
      <c r="C467" s="167"/>
      <c r="D467" s="167"/>
    </row>
    <row r="468" spans="1:4" x14ac:dyDescent="0.25">
      <c r="A468" s="145" t="s">
        <v>1387</v>
      </c>
      <c r="B468" s="167"/>
      <c r="C468" s="167"/>
      <c r="D468" s="167"/>
    </row>
    <row r="469" spans="1:4" x14ac:dyDescent="0.25">
      <c r="A469" s="144" t="s">
        <v>1392</v>
      </c>
      <c r="B469" s="167">
        <v>113.23</v>
      </c>
      <c r="C469" s="167">
        <f>+ROUND($D$2*B469,2)</f>
        <v>0.53</v>
      </c>
      <c r="D469" s="167">
        <f>+SUM(B469:C469)</f>
        <v>113.76</v>
      </c>
    </row>
    <row r="470" spans="1:4" x14ac:dyDescent="0.25">
      <c r="A470" s="144" t="s">
        <v>1386</v>
      </c>
      <c r="B470" s="167">
        <v>203.77</v>
      </c>
      <c r="C470" s="167">
        <f>+ROUND($D$2*B470,2)</f>
        <v>0.95</v>
      </c>
      <c r="D470" s="167">
        <f>+SUM(B470:C470)</f>
        <v>204.72</v>
      </c>
    </row>
    <row r="471" spans="1:4" x14ac:dyDescent="0.25">
      <c r="A471" s="144" t="s">
        <v>1385</v>
      </c>
      <c r="B471" s="167">
        <v>287.11</v>
      </c>
      <c r="C471" s="167">
        <f>+ROUND($D$2*B471,2)</f>
        <v>1.34</v>
      </c>
      <c r="D471" s="167">
        <f>+SUM(B471:C471)</f>
        <v>288.45</v>
      </c>
    </row>
    <row r="472" spans="1:4" x14ac:dyDescent="0.25">
      <c r="B472" s="167"/>
      <c r="C472" s="167"/>
      <c r="D472" s="167"/>
    </row>
    <row r="473" spans="1:4" s="139" customFormat="1" x14ac:dyDescent="0.25">
      <c r="A473" s="143" t="s">
        <v>1362</v>
      </c>
      <c r="B473" s="174"/>
      <c r="C473" s="174"/>
      <c r="D473" s="174"/>
    </row>
    <row r="474" spans="1:4" x14ac:dyDescent="0.25">
      <c r="A474" s="142" t="s">
        <v>1384</v>
      </c>
      <c r="B474" s="167">
        <v>42.63</v>
      </c>
      <c r="C474" s="167">
        <f>+ROUND($D$2*B474,2)</f>
        <v>0.2</v>
      </c>
      <c r="D474" s="167">
        <f>+SUM(B474:C474)</f>
        <v>42.830000000000005</v>
      </c>
    </row>
    <row r="475" spans="1:4" x14ac:dyDescent="0.25">
      <c r="A475" s="142" t="s">
        <v>1360</v>
      </c>
      <c r="B475" s="167">
        <v>7.14</v>
      </c>
      <c r="C475" s="167">
        <f>+ROUND($D$2*B475,2)</f>
        <v>0.03</v>
      </c>
      <c r="D475" s="167">
        <f>+SUM(B475:C475)</f>
        <v>7.17</v>
      </c>
    </row>
    <row r="476" spans="1:4" x14ac:dyDescent="0.25">
      <c r="A476" s="142" t="s">
        <v>1383</v>
      </c>
      <c r="B476" s="167">
        <v>4.55</v>
      </c>
      <c r="C476" s="167">
        <f>+ROUND($D$3*B476,2)</f>
        <v>0.02</v>
      </c>
      <c r="D476" s="167">
        <f>+SUM(B476:C476)</f>
        <v>4.5699999999999994</v>
      </c>
    </row>
    <row r="477" spans="1:4" x14ac:dyDescent="0.25">
      <c r="B477" s="141"/>
      <c r="C477" s="141"/>
      <c r="D477" s="141"/>
    </row>
    <row r="478" spans="1:4" x14ac:dyDescent="0.25">
      <c r="A478" s="147" t="s">
        <v>1393</v>
      </c>
      <c r="B478" s="146"/>
      <c r="C478" s="146"/>
      <c r="D478" s="146"/>
    </row>
    <row r="479" spans="1:4" x14ac:dyDescent="0.25">
      <c r="A479" s="143" t="s">
        <v>1366</v>
      </c>
      <c r="B479" s="141"/>
      <c r="C479" s="141"/>
      <c r="D479" s="141"/>
    </row>
    <row r="480" spans="1:4" x14ac:dyDescent="0.25">
      <c r="A480" s="145" t="s">
        <v>1387</v>
      </c>
      <c r="B480" s="167"/>
      <c r="C480" s="167"/>
      <c r="D480" s="167"/>
    </row>
    <row r="481" spans="1:4" x14ac:dyDescent="0.25">
      <c r="A481" s="144" t="s">
        <v>1392</v>
      </c>
      <c r="B481" s="167">
        <v>137.08000000000001</v>
      </c>
      <c r="C481" s="167">
        <f>+ROUND($D$2*B481,2)</f>
        <v>0.64</v>
      </c>
      <c r="D481" s="167">
        <f>+SUM(B481:C481)</f>
        <v>137.72</v>
      </c>
    </row>
    <row r="482" spans="1:4" x14ac:dyDescent="0.25">
      <c r="A482" s="144" t="s">
        <v>1390</v>
      </c>
      <c r="B482" s="167">
        <v>190.84</v>
      </c>
      <c r="C482" s="167">
        <f>+ROUND($D$2*B482,2)</f>
        <v>0.89</v>
      </c>
      <c r="D482" s="167">
        <f>+SUM(B482:C482)</f>
        <v>191.73</v>
      </c>
    </row>
    <row r="483" spans="1:4" x14ac:dyDescent="0.25">
      <c r="A483" s="144" t="s">
        <v>1386</v>
      </c>
      <c r="B483" s="167">
        <v>240.51</v>
      </c>
      <c r="C483" s="167">
        <f>+ROUND($D$2*B483,2)</f>
        <v>1.1299999999999999</v>
      </c>
      <c r="D483" s="167">
        <f>+SUM(B483:C483)</f>
        <v>241.64</v>
      </c>
    </row>
    <row r="484" spans="1:4" x14ac:dyDescent="0.25">
      <c r="A484" s="144" t="s">
        <v>1385</v>
      </c>
      <c r="B484" s="167">
        <v>357.47</v>
      </c>
      <c r="C484" s="167">
        <f>+ROUND($D$2*B484,2)</f>
        <v>1.67</v>
      </c>
      <c r="D484" s="167">
        <f>+SUM(B484:C484)</f>
        <v>359.14000000000004</v>
      </c>
    </row>
    <row r="485" spans="1:4" x14ac:dyDescent="0.25">
      <c r="A485" s="144"/>
      <c r="B485" s="167"/>
      <c r="C485" s="167"/>
      <c r="D485" s="167"/>
    </row>
    <row r="486" spans="1:4" x14ac:dyDescent="0.25">
      <c r="A486" s="145" t="s">
        <v>1388</v>
      </c>
      <c r="B486" s="167"/>
      <c r="C486" s="167"/>
      <c r="D486" s="167"/>
    </row>
    <row r="487" spans="1:4" x14ac:dyDescent="0.25">
      <c r="A487" s="144" t="s">
        <v>1392</v>
      </c>
      <c r="B487" s="167">
        <v>143.62</v>
      </c>
      <c r="C487" s="167">
        <f>+ROUND($D$2*B487,2)</f>
        <v>0.67</v>
      </c>
      <c r="D487" s="167">
        <f>+SUM(B487:C487)</f>
        <v>144.29</v>
      </c>
    </row>
    <row r="488" spans="1:4" x14ac:dyDescent="0.25">
      <c r="A488" s="144" t="s">
        <v>1390</v>
      </c>
      <c r="B488" s="167">
        <v>197.39</v>
      </c>
      <c r="C488" s="167">
        <f>+ROUND($D$2*B488,2)</f>
        <v>0.92</v>
      </c>
      <c r="D488" s="167">
        <f>+SUM(B488:C488)</f>
        <v>198.30999999999997</v>
      </c>
    </row>
    <row r="489" spans="1:4" x14ac:dyDescent="0.25">
      <c r="A489" s="144" t="s">
        <v>1386</v>
      </c>
      <c r="B489" s="167">
        <v>247.04</v>
      </c>
      <c r="C489" s="167">
        <f>+ROUND($D$2*B489,2)</f>
        <v>1.1599999999999999</v>
      </c>
      <c r="D489" s="167">
        <f>+SUM(B489:C489)</f>
        <v>248.2</v>
      </c>
    </row>
    <row r="490" spans="1:4" x14ac:dyDescent="0.25">
      <c r="A490" s="144" t="s">
        <v>1385</v>
      </c>
      <c r="B490" s="167">
        <v>364.01</v>
      </c>
      <c r="C490" s="167">
        <f>+ROUND($D$2*B490,2)</f>
        <v>1.7</v>
      </c>
      <c r="D490" s="167">
        <f>+SUM(B490:C490)</f>
        <v>365.71</v>
      </c>
    </row>
    <row r="491" spans="1:4" x14ac:dyDescent="0.25">
      <c r="B491" s="167"/>
      <c r="C491" s="167"/>
      <c r="D491" s="167"/>
    </row>
    <row r="492" spans="1:4" x14ac:dyDescent="0.25">
      <c r="A492" s="143" t="s">
        <v>1379</v>
      </c>
      <c r="B492" s="167"/>
      <c r="C492" s="167"/>
      <c r="D492" s="167"/>
    </row>
    <row r="493" spans="1:4" x14ac:dyDescent="0.25">
      <c r="A493" s="145" t="s">
        <v>1387</v>
      </c>
      <c r="B493" s="167"/>
      <c r="C493" s="167"/>
      <c r="D493" s="167"/>
    </row>
    <row r="494" spans="1:4" x14ac:dyDescent="0.25">
      <c r="A494" s="144" t="s">
        <v>1392</v>
      </c>
      <c r="B494" s="167">
        <v>143.62</v>
      </c>
      <c r="C494" s="167">
        <f>+ROUND($D$2*B494,2)</f>
        <v>0.67</v>
      </c>
      <c r="D494" s="167">
        <f>+SUM(B494:C494)</f>
        <v>144.29</v>
      </c>
    </row>
    <row r="495" spans="1:4" x14ac:dyDescent="0.25">
      <c r="A495" s="144" t="s">
        <v>1390</v>
      </c>
      <c r="B495" s="167">
        <v>197.39</v>
      </c>
      <c r="C495" s="167">
        <f>+ROUND($D$2*B495,2)</f>
        <v>0.92</v>
      </c>
      <c r="D495" s="167">
        <f>+SUM(B495:C495)</f>
        <v>198.30999999999997</v>
      </c>
    </row>
    <row r="496" spans="1:4" x14ac:dyDescent="0.25">
      <c r="A496" s="144" t="s">
        <v>1386</v>
      </c>
      <c r="B496" s="167">
        <v>247.04</v>
      </c>
      <c r="C496" s="167">
        <f>+ROUND($D$2*B496,2)</f>
        <v>1.1599999999999999</v>
      </c>
      <c r="D496" s="167">
        <f>+SUM(B496:C496)</f>
        <v>248.2</v>
      </c>
    </row>
    <row r="497" spans="1:4" x14ac:dyDescent="0.25">
      <c r="A497" s="144" t="s">
        <v>1385</v>
      </c>
      <c r="B497" s="167">
        <v>364.01</v>
      </c>
      <c r="C497" s="167">
        <f>+ROUND($D$2*B497,2)</f>
        <v>1.7</v>
      </c>
      <c r="D497" s="167">
        <f>+SUM(B497:C497)</f>
        <v>365.71</v>
      </c>
    </row>
    <row r="498" spans="1:4" x14ac:dyDescent="0.25">
      <c r="B498" s="167"/>
      <c r="C498" s="167"/>
      <c r="D498" s="167"/>
    </row>
    <row r="499" spans="1:4" s="139" customFormat="1" x14ac:dyDescent="0.25">
      <c r="A499" s="143" t="s">
        <v>1362</v>
      </c>
      <c r="B499" s="174"/>
      <c r="C499" s="174"/>
      <c r="D499" s="174"/>
    </row>
    <row r="500" spans="1:4" x14ac:dyDescent="0.25">
      <c r="A500" s="142" t="s">
        <v>1384</v>
      </c>
      <c r="B500" s="167">
        <v>42.63</v>
      </c>
      <c r="C500" s="167">
        <f>+ROUND($D$2*B500,2)</f>
        <v>0.2</v>
      </c>
      <c r="D500" s="167">
        <f>+SUM(B500:C500)</f>
        <v>42.830000000000005</v>
      </c>
    </row>
    <row r="501" spans="1:4" x14ac:dyDescent="0.25">
      <c r="A501" s="142" t="s">
        <v>1360</v>
      </c>
      <c r="B501" s="167">
        <v>7.14</v>
      </c>
      <c r="C501" s="167">
        <f>+ROUND($D$2*B501,2)</f>
        <v>0.03</v>
      </c>
      <c r="D501" s="167">
        <f>+SUM(B501:C501)</f>
        <v>7.17</v>
      </c>
    </row>
    <row r="502" spans="1:4" x14ac:dyDescent="0.25">
      <c r="A502" s="142" t="s">
        <v>1383</v>
      </c>
      <c r="B502" s="167">
        <v>4.55</v>
      </c>
      <c r="C502" s="167">
        <f>+ROUND($D$3*B502,2)</f>
        <v>0.02</v>
      </c>
      <c r="D502" s="167">
        <f>+SUM(B502:C502)</f>
        <v>4.5699999999999994</v>
      </c>
    </row>
    <row r="503" spans="1:4" x14ac:dyDescent="0.25">
      <c r="B503" s="141"/>
      <c r="C503" s="141"/>
      <c r="D503" s="141"/>
    </row>
    <row r="504" spans="1:4" x14ac:dyDescent="0.25">
      <c r="A504" s="147" t="s">
        <v>1391</v>
      </c>
      <c r="B504" s="146"/>
      <c r="C504" s="146"/>
      <c r="D504" s="146"/>
    </row>
    <row r="505" spans="1:4" x14ac:dyDescent="0.25">
      <c r="A505" s="143" t="s">
        <v>1366</v>
      </c>
      <c r="B505" s="141"/>
      <c r="C505" s="141"/>
      <c r="D505" s="141"/>
    </row>
    <row r="506" spans="1:4" x14ac:dyDescent="0.25">
      <c r="A506" s="145" t="s">
        <v>1387</v>
      </c>
      <c r="B506" s="141"/>
      <c r="C506" s="141"/>
      <c r="D506" s="141"/>
    </row>
    <row r="507" spans="1:4" x14ac:dyDescent="0.25">
      <c r="A507" s="144" t="s">
        <v>1390</v>
      </c>
      <c r="B507" s="167">
        <v>235.42</v>
      </c>
      <c r="C507" s="167">
        <f>+ROUND($D$2*B507,2)</f>
        <v>1.1000000000000001</v>
      </c>
      <c r="D507" s="167">
        <f>+SUM(B507:C507)</f>
        <v>236.51999999999998</v>
      </c>
    </row>
    <row r="508" spans="1:4" x14ac:dyDescent="0.25">
      <c r="A508" s="144" t="s">
        <v>1386</v>
      </c>
      <c r="B508" s="167">
        <v>310.52999999999997</v>
      </c>
      <c r="C508" s="167">
        <f>+ROUND($D$2*B508,2)</f>
        <v>1.45</v>
      </c>
      <c r="D508" s="167">
        <f>+SUM(B508:C508)</f>
        <v>311.97999999999996</v>
      </c>
    </row>
    <row r="509" spans="1:4" x14ac:dyDescent="0.25">
      <c r="A509" s="144" t="s">
        <v>1385</v>
      </c>
      <c r="B509" s="167">
        <v>457.34</v>
      </c>
      <c r="C509" s="167">
        <f>+ROUND($D$2*B509,2)</f>
        <v>2.14</v>
      </c>
      <c r="D509" s="167">
        <f>+SUM(B509:C509)</f>
        <v>459.47999999999996</v>
      </c>
    </row>
    <row r="510" spans="1:4" x14ac:dyDescent="0.25">
      <c r="A510" s="144"/>
      <c r="B510" s="167"/>
      <c r="C510" s="167"/>
      <c r="D510" s="167"/>
    </row>
    <row r="511" spans="1:4" x14ac:dyDescent="0.25">
      <c r="A511" s="145" t="s">
        <v>1388</v>
      </c>
      <c r="B511" s="167"/>
      <c r="C511" s="167"/>
      <c r="D511" s="167"/>
    </row>
    <row r="512" spans="1:4" x14ac:dyDescent="0.25">
      <c r="A512" s="144" t="s">
        <v>1390</v>
      </c>
      <c r="B512" s="167">
        <v>241.96</v>
      </c>
      <c r="C512" s="167">
        <f>+ROUND($D$2*B512,2)</f>
        <v>1.1299999999999999</v>
      </c>
      <c r="D512" s="167">
        <f>+SUM(B512:C512)</f>
        <v>243.09</v>
      </c>
    </row>
    <row r="513" spans="1:4" x14ac:dyDescent="0.25">
      <c r="A513" s="144" t="s">
        <v>1386</v>
      </c>
      <c r="B513" s="167">
        <v>317.07</v>
      </c>
      <c r="C513" s="167">
        <f>+ROUND($D$2*B513,2)</f>
        <v>1.48</v>
      </c>
      <c r="D513" s="167">
        <f>+SUM(B513:C513)</f>
        <v>318.55</v>
      </c>
    </row>
    <row r="514" spans="1:4" x14ac:dyDescent="0.25">
      <c r="A514" s="144" t="s">
        <v>1385</v>
      </c>
      <c r="B514" s="167">
        <v>453.88</v>
      </c>
      <c r="C514" s="167">
        <f>+ROUND($D$2*B514,2)</f>
        <v>2.12</v>
      </c>
      <c r="D514" s="167">
        <f>+SUM(B514:C514)</f>
        <v>456</v>
      </c>
    </row>
    <row r="515" spans="1:4" x14ac:dyDescent="0.25">
      <c r="B515" s="167"/>
      <c r="C515" s="167"/>
      <c r="D515" s="167"/>
    </row>
    <row r="516" spans="1:4" x14ac:dyDescent="0.25">
      <c r="A516" s="143" t="s">
        <v>1379</v>
      </c>
      <c r="B516" s="167"/>
      <c r="C516" s="167"/>
      <c r="D516" s="167"/>
    </row>
    <row r="517" spans="1:4" x14ac:dyDescent="0.25">
      <c r="A517" s="145" t="s">
        <v>1387</v>
      </c>
      <c r="B517" s="167"/>
      <c r="C517" s="167"/>
      <c r="D517" s="167"/>
    </row>
    <row r="518" spans="1:4" x14ac:dyDescent="0.25">
      <c r="A518" s="144" t="s">
        <v>1390</v>
      </c>
      <c r="B518" s="167">
        <v>241.96</v>
      </c>
      <c r="C518" s="167">
        <f>+ROUND($D$2*B518,2)</f>
        <v>1.1299999999999999</v>
      </c>
      <c r="D518" s="167">
        <f>+SUM(B518:C518)</f>
        <v>243.09</v>
      </c>
    </row>
    <row r="519" spans="1:4" x14ac:dyDescent="0.25">
      <c r="A519" s="144" t="s">
        <v>1386</v>
      </c>
      <c r="B519" s="167">
        <v>317.07</v>
      </c>
      <c r="C519" s="167">
        <f>+ROUND($D$2*B519,2)</f>
        <v>1.48</v>
      </c>
      <c r="D519" s="167">
        <f>+SUM(B519:C519)</f>
        <v>318.55</v>
      </c>
    </row>
    <row r="520" spans="1:4" x14ac:dyDescent="0.25">
      <c r="A520" s="144" t="s">
        <v>1385</v>
      </c>
      <c r="B520" s="167">
        <v>453.88</v>
      </c>
      <c r="C520" s="167">
        <f>+ROUND($D$2*B520,2)</f>
        <v>2.12</v>
      </c>
      <c r="D520" s="167">
        <f>+SUM(B520:C520)</f>
        <v>456</v>
      </c>
    </row>
    <row r="521" spans="1:4" x14ac:dyDescent="0.25">
      <c r="B521" s="167"/>
      <c r="C521" s="167"/>
      <c r="D521" s="167"/>
    </row>
    <row r="522" spans="1:4" s="139" customFormat="1" x14ac:dyDescent="0.25">
      <c r="A522" s="143" t="s">
        <v>1362</v>
      </c>
      <c r="B522" s="174"/>
      <c r="C522" s="174"/>
      <c r="D522" s="174"/>
    </row>
    <row r="523" spans="1:4" x14ac:dyDescent="0.25">
      <c r="A523" s="142" t="s">
        <v>1384</v>
      </c>
      <c r="B523" s="167">
        <v>42.63</v>
      </c>
      <c r="C523" s="167">
        <f>+ROUND($D$2*B523,2)</f>
        <v>0.2</v>
      </c>
      <c r="D523" s="167">
        <f>+SUM(B523:C523)</f>
        <v>42.830000000000005</v>
      </c>
    </row>
    <row r="524" spans="1:4" x14ac:dyDescent="0.25">
      <c r="A524" s="142" t="s">
        <v>1360</v>
      </c>
      <c r="B524" s="167">
        <v>7.14</v>
      </c>
      <c r="C524" s="167">
        <f>+ROUND($D$2*B524,2)</f>
        <v>0.03</v>
      </c>
      <c r="D524" s="167">
        <f>+SUM(B524:C524)</f>
        <v>7.17</v>
      </c>
    </row>
    <row r="525" spans="1:4" x14ac:dyDescent="0.25">
      <c r="A525" s="142" t="s">
        <v>1383</v>
      </c>
      <c r="B525" s="167">
        <v>4.55</v>
      </c>
      <c r="C525" s="167">
        <f>+ROUND($D$3*B525,2)</f>
        <v>0.02</v>
      </c>
      <c r="D525" s="167">
        <f>+SUM(B525:C525)</f>
        <v>4.5699999999999994</v>
      </c>
    </row>
    <row r="526" spans="1:4" x14ac:dyDescent="0.25">
      <c r="B526" s="141"/>
      <c r="C526" s="141"/>
      <c r="D526" s="141"/>
    </row>
    <row r="527" spans="1:4" x14ac:dyDescent="0.25">
      <c r="A527" s="147" t="s">
        <v>1389</v>
      </c>
      <c r="B527" s="146"/>
      <c r="C527" s="146"/>
      <c r="D527" s="146"/>
    </row>
    <row r="528" spans="1:4" x14ac:dyDescent="0.25">
      <c r="A528" s="143" t="s">
        <v>1366</v>
      </c>
      <c r="B528" s="141"/>
      <c r="C528" s="141"/>
      <c r="D528" s="141"/>
    </row>
    <row r="529" spans="1:4" x14ac:dyDescent="0.25">
      <c r="A529" s="145" t="s">
        <v>1387</v>
      </c>
      <c r="B529" s="141"/>
      <c r="C529" s="141"/>
      <c r="D529" s="141"/>
    </row>
    <row r="530" spans="1:4" x14ac:dyDescent="0.25">
      <c r="A530" s="144" t="s">
        <v>1386</v>
      </c>
      <c r="B530" s="167">
        <v>357.93</v>
      </c>
      <c r="C530" s="167">
        <f>+ROUND($D$2*B530,2)</f>
        <v>1.68</v>
      </c>
      <c r="D530" s="167">
        <f>+SUM(B530:C530)</f>
        <v>359.61</v>
      </c>
    </row>
    <row r="531" spans="1:4" x14ac:dyDescent="0.25">
      <c r="A531" s="144" t="s">
        <v>1385</v>
      </c>
      <c r="B531" s="167">
        <v>516.01</v>
      </c>
      <c r="C531" s="167">
        <f>+ROUND($D$2*B531,2)</f>
        <v>2.41</v>
      </c>
      <c r="D531" s="167">
        <f>+SUM(B531:C531)</f>
        <v>518.41999999999996</v>
      </c>
    </row>
    <row r="532" spans="1:4" x14ac:dyDescent="0.25">
      <c r="A532" s="144"/>
      <c r="B532" s="167"/>
      <c r="C532" s="167"/>
      <c r="D532" s="167"/>
    </row>
    <row r="533" spans="1:4" x14ac:dyDescent="0.25">
      <c r="A533" s="145" t="s">
        <v>1388</v>
      </c>
      <c r="B533" s="167"/>
      <c r="C533" s="167"/>
      <c r="D533" s="167"/>
    </row>
    <row r="534" spans="1:4" x14ac:dyDescent="0.25">
      <c r="A534" s="144" t="s">
        <v>1386</v>
      </c>
      <c r="B534" s="167">
        <v>364.48</v>
      </c>
      <c r="C534" s="167">
        <f>+ROUND($D$2*B534,2)</f>
        <v>1.71</v>
      </c>
      <c r="D534" s="167">
        <f>+SUM(B534:C534)</f>
        <v>366.19</v>
      </c>
    </row>
    <row r="535" spans="1:4" x14ac:dyDescent="0.25">
      <c r="A535" s="144" t="s">
        <v>1385</v>
      </c>
      <c r="B535" s="167">
        <v>522.54999999999995</v>
      </c>
      <c r="C535" s="167">
        <f>+ROUND($D$2*B535,2)</f>
        <v>2.4500000000000002</v>
      </c>
      <c r="D535" s="167">
        <f>+SUM(B535:C535)</f>
        <v>525</v>
      </c>
    </row>
    <row r="536" spans="1:4" x14ac:dyDescent="0.25">
      <c r="B536" s="167"/>
      <c r="C536" s="167"/>
      <c r="D536" s="167"/>
    </row>
    <row r="537" spans="1:4" x14ac:dyDescent="0.25">
      <c r="A537" s="143" t="s">
        <v>1379</v>
      </c>
      <c r="B537" s="167"/>
      <c r="C537" s="167"/>
      <c r="D537" s="167"/>
    </row>
    <row r="538" spans="1:4" x14ac:dyDescent="0.25">
      <c r="A538" s="145" t="s">
        <v>1387</v>
      </c>
      <c r="B538" s="167"/>
      <c r="C538" s="167"/>
      <c r="D538" s="167"/>
    </row>
    <row r="539" spans="1:4" x14ac:dyDescent="0.25">
      <c r="A539" s="144" t="s">
        <v>1386</v>
      </c>
      <c r="B539" s="167">
        <v>364.48</v>
      </c>
      <c r="C539" s="167">
        <f>+ROUND($D$2*B539,2)</f>
        <v>1.71</v>
      </c>
      <c r="D539" s="167">
        <f>+SUM(B539:C539)</f>
        <v>366.19</v>
      </c>
    </row>
    <row r="540" spans="1:4" x14ac:dyDescent="0.25">
      <c r="A540" s="144" t="s">
        <v>1385</v>
      </c>
      <c r="B540" s="167">
        <v>522.54999999999995</v>
      </c>
      <c r="C540" s="167">
        <f>+ROUND($D$2*B540,2)</f>
        <v>2.4500000000000002</v>
      </c>
      <c r="D540" s="167">
        <f>+SUM(B540:C540)</f>
        <v>525</v>
      </c>
    </row>
    <row r="541" spans="1:4" x14ac:dyDescent="0.25">
      <c r="B541" s="167"/>
      <c r="C541" s="167"/>
      <c r="D541" s="167"/>
    </row>
    <row r="542" spans="1:4" s="139" customFormat="1" x14ac:dyDescent="0.25">
      <c r="A542" s="143" t="s">
        <v>1362</v>
      </c>
      <c r="B542" s="174"/>
      <c r="C542" s="174"/>
      <c r="D542" s="174"/>
    </row>
    <row r="543" spans="1:4" x14ac:dyDescent="0.25">
      <c r="A543" s="142" t="s">
        <v>1384</v>
      </c>
      <c r="B543" s="167">
        <v>42.63</v>
      </c>
      <c r="C543" s="167">
        <f>+ROUND($D$2*B543,2)</f>
        <v>0.2</v>
      </c>
      <c r="D543" s="167">
        <f>+SUM(B543:C543)</f>
        <v>42.830000000000005</v>
      </c>
    </row>
    <row r="544" spans="1:4" x14ac:dyDescent="0.25">
      <c r="A544" s="142" t="s">
        <v>1360</v>
      </c>
      <c r="B544" s="167">
        <v>7.14</v>
      </c>
      <c r="C544" s="167">
        <f>+ROUND($D$2*B544,2)</f>
        <v>0.03</v>
      </c>
      <c r="D544" s="167">
        <f>+SUM(B544:C544)</f>
        <v>7.17</v>
      </c>
    </row>
    <row r="545" spans="1:4" x14ac:dyDescent="0.25">
      <c r="A545" s="142" t="s">
        <v>1383</v>
      </c>
      <c r="B545" s="167">
        <v>4.55</v>
      </c>
      <c r="C545" s="167">
        <f>+ROUND($D$3*B545,2)</f>
        <v>0.02</v>
      </c>
      <c r="D545" s="167">
        <f>+SUM(B545:C545)</f>
        <v>4.5699999999999994</v>
      </c>
    </row>
    <row r="546" spans="1:4" x14ac:dyDescent="0.25">
      <c r="B546" s="141"/>
      <c r="C546" s="141"/>
      <c r="D546" s="141"/>
    </row>
    <row r="547" spans="1:4" x14ac:dyDescent="0.25">
      <c r="A547" s="147" t="s">
        <v>1382</v>
      </c>
      <c r="B547" s="146"/>
      <c r="C547" s="146"/>
      <c r="D547" s="146"/>
    </row>
    <row r="548" spans="1:4" x14ac:dyDescent="0.25">
      <c r="A548" s="143" t="s">
        <v>1366</v>
      </c>
      <c r="B548" s="141"/>
      <c r="C548" s="141"/>
      <c r="D548" s="141"/>
    </row>
    <row r="549" spans="1:4" x14ac:dyDescent="0.25">
      <c r="A549" s="145" t="s">
        <v>1381</v>
      </c>
      <c r="B549" s="141"/>
      <c r="C549" s="141"/>
      <c r="D549" s="141"/>
    </row>
    <row r="550" spans="1:4" x14ac:dyDescent="0.25">
      <c r="A550" s="144" t="s">
        <v>1371</v>
      </c>
      <c r="B550" s="167">
        <v>90.24</v>
      </c>
      <c r="C550" s="167">
        <f>+ROUND($D$2*B550,2)</f>
        <v>0.42</v>
      </c>
      <c r="D550" s="167">
        <f>+SUM(B550:C550)</f>
        <v>90.66</v>
      </c>
    </row>
    <row r="551" spans="1:4" x14ac:dyDescent="0.25">
      <c r="A551" s="144" t="s">
        <v>1370</v>
      </c>
      <c r="B551" s="167">
        <v>101.11</v>
      </c>
      <c r="C551" s="167">
        <f>+ROUND($D$2*B551,2)</f>
        <v>0.47</v>
      </c>
      <c r="D551" s="167">
        <f>+SUM(B551:C551)</f>
        <v>101.58</v>
      </c>
    </row>
    <row r="552" spans="1:4" x14ac:dyDescent="0.25">
      <c r="A552" s="144" t="s">
        <v>1369</v>
      </c>
      <c r="B552" s="167">
        <v>110.9</v>
      </c>
      <c r="C552" s="167">
        <f>+ROUND($D$2*B552,2)</f>
        <v>0.52</v>
      </c>
      <c r="D552" s="167">
        <f>+SUM(B552:C552)</f>
        <v>111.42</v>
      </c>
    </row>
    <row r="553" spans="1:4" x14ac:dyDescent="0.25">
      <c r="A553" s="144" t="s">
        <v>1368</v>
      </c>
      <c r="B553" s="167">
        <v>113.07</v>
      </c>
      <c r="C553" s="167">
        <f>+ROUND($D$2*B553,2)</f>
        <v>0.53</v>
      </c>
      <c r="D553" s="167">
        <f>+SUM(B553:C553)</f>
        <v>113.6</v>
      </c>
    </row>
    <row r="554" spans="1:4" x14ac:dyDescent="0.25">
      <c r="A554" s="144" t="s">
        <v>1363</v>
      </c>
      <c r="B554" s="167">
        <v>152.22</v>
      </c>
      <c r="C554" s="167">
        <f>+ROUND($D$2*B554,2)</f>
        <v>0.71</v>
      </c>
      <c r="D554" s="167">
        <f>+SUM(B554:C554)</f>
        <v>152.93</v>
      </c>
    </row>
    <row r="555" spans="1:4" x14ac:dyDescent="0.25">
      <c r="B555" s="167"/>
      <c r="C555" s="167"/>
      <c r="D555" s="167"/>
    </row>
    <row r="556" spans="1:4" x14ac:dyDescent="0.25">
      <c r="A556" s="145" t="s">
        <v>1380</v>
      </c>
      <c r="B556" s="167"/>
      <c r="C556" s="167"/>
      <c r="D556" s="167"/>
    </row>
    <row r="557" spans="1:4" x14ac:dyDescent="0.25">
      <c r="A557" s="144" t="s">
        <v>1371</v>
      </c>
      <c r="B557" s="167">
        <v>94.69</v>
      </c>
      <c r="C557" s="167">
        <f>+ROUND($D$2*B557,2)</f>
        <v>0.44</v>
      </c>
      <c r="D557" s="167">
        <f>+SUM(B557:C557)</f>
        <v>95.13</v>
      </c>
    </row>
    <row r="558" spans="1:4" x14ac:dyDescent="0.25">
      <c r="A558" s="144" t="s">
        <v>1370</v>
      </c>
      <c r="B558" s="167">
        <v>103.8</v>
      </c>
      <c r="C558" s="167">
        <f>+ROUND($D$2*B558,2)</f>
        <v>0.49</v>
      </c>
      <c r="D558" s="167">
        <f>+SUM(B558:C558)</f>
        <v>104.28999999999999</v>
      </c>
    </row>
    <row r="559" spans="1:4" x14ac:dyDescent="0.25">
      <c r="A559" s="144" t="s">
        <v>1369</v>
      </c>
      <c r="B559" s="167">
        <v>111.59</v>
      </c>
      <c r="C559" s="167">
        <f>+ROUND($D$2*B559,2)</f>
        <v>0.52</v>
      </c>
      <c r="D559" s="167">
        <f>+SUM(B559:C559)</f>
        <v>112.11</v>
      </c>
    </row>
    <row r="560" spans="1:4" x14ac:dyDescent="0.25">
      <c r="A560" s="144" t="s">
        <v>1368</v>
      </c>
      <c r="B560" s="167">
        <v>134.91</v>
      </c>
      <c r="C560" s="167">
        <f>+ROUND($D$2*B560,2)</f>
        <v>0.63</v>
      </c>
      <c r="D560" s="167">
        <f>+SUM(B560:C560)</f>
        <v>135.54</v>
      </c>
    </row>
    <row r="561" spans="1:4" x14ac:dyDescent="0.25">
      <c r="A561" s="144" t="s">
        <v>1363</v>
      </c>
      <c r="B561" s="167">
        <v>159.61000000000001</v>
      </c>
      <c r="C561" s="167">
        <f>+ROUND($D$2*B561,2)</f>
        <v>0.75</v>
      </c>
      <c r="D561" s="167">
        <f>+SUM(B561:C561)</f>
        <v>160.36000000000001</v>
      </c>
    </row>
    <row r="562" spans="1:4" x14ac:dyDescent="0.25">
      <c r="B562" s="167"/>
      <c r="C562" s="167"/>
      <c r="D562" s="167"/>
    </row>
    <row r="563" spans="1:4" x14ac:dyDescent="0.25">
      <c r="A563" s="143" t="s">
        <v>1379</v>
      </c>
      <c r="B563" s="167"/>
      <c r="C563" s="167"/>
      <c r="D563" s="167"/>
    </row>
    <row r="564" spans="1:4" x14ac:dyDescent="0.25">
      <c r="A564" s="145" t="s">
        <v>1378</v>
      </c>
      <c r="B564" s="167"/>
      <c r="C564" s="167"/>
      <c r="D564" s="167"/>
    </row>
    <row r="565" spans="1:4" x14ac:dyDescent="0.25">
      <c r="A565" s="144" t="s">
        <v>1371</v>
      </c>
      <c r="B565" s="167">
        <v>97.04</v>
      </c>
      <c r="C565" s="167">
        <f>+ROUND($D$2*B565,2)</f>
        <v>0.45</v>
      </c>
      <c r="D565" s="167">
        <f>+SUM(B565:C565)</f>
        <v>97.490000000000009</v>
      </c>
    </row>
    <row r="566" spans="1:4" x14ac:dyDescent="0.25">
      <c r="A566" s="144" t="s">
        <v>1370</v>
      </c>
      <c r="B566" s="167">
        <v>97.04</v>
      </c>
      <c r="C566" s="167">
        <f>+ROUND($D$2*B566,2)</f>
        <v>0.45</v>
      </c>
      <c r="D566" s="167">
        <f>+SUM(B566:C566)</f>
        <v>97.490000000000009</v>
      </c>
    </row>
    <row r="567" spans="1:4" x14ac:dyDescent="0.25">
      <c r="A567" s="144" t="s">
        <v>1369</v>
      </c>
      <c r="B567" s="167">
        <v>97.04</v>
      </c>
      <c r="C567" s="167">
        <f>+ROUND($D$2*B567,2)</f>
        <v>0.45</v>
      </c>
      <c r="D567" s="167">
        <f>+SUM(B567:C567)</f>
        <v>97.490000000000009</v>
      </c>
    </row>
    <row r="568" spans="1:4" x14ac:dyDescent="0.25">
      <c r="A568" s="144" t="s">
        <v>1368</v>
      </c>
      <c r="B568" s="167">
        <v>97.04</v>
      </c>
      <c r="C568" s="167">
        <f>+ROUND($D$2*B568,2)</f>
        <v>0.45</v>
      </c>
      <c r="D568" s="167">
        <f>+SUM(B568:C568)</f>
        <v>97.490000000000009</v>
      </c>
    </row>
    <row r="569" spans="1:4" x14ac:dyDescent="0.25">
      <c r="A569" s="144" t="s">
        <v>1363</v>
      </c>
      <c r="B569" s="167">
        <v>97.04</v>
      </c>
      <c r="C569" s="167">
        <f>+ROUND($D$2*B569,2)</f>
        <v>0.45</v>
      </c>
      <c r="D569" s="167">
        <f>+SUM(B569:C569)</f>
        <v>97.490000000000009</v>
      </c>
    </row>
    <row r="570" spans="1:4" x14ac:dyDescent="0.25">
      <c r="B570" s="167"/>
      <c r="C570" s="167"/>
      <c r="D570" s="167"/>
    </row>
    <row r="571" spans="1:4" x14ac:dyDescent="0.25">
      <c r="A571" s="145" t="s">
        <v>1365</v>
      </c>
      <c r="B571" s="167"/>
      <c r="C571" s="167"/>
      <c r="D571" s="167"/>
    </row>
    <row r="572" spans="1:4" x14ac:dyDescent="0.25">
      <c r="A572" s="144" t="s">
        <v>1371</v>
      </c>
      <c r="B572" s="167">
        <v>113</v>
      </c>
      <c r="C572" s="167">
        <f>+ROUND($D$2*B572,2)</f>
        <v>0.53</v>
      </c>
      <c r="D572" s="167">
        <f>+SUM(B572:C572)</f>
        <v>113.53</v>
      </c>
    </row>
    <row r="573" spans="1:4" x14ac:dyDescent="0.25">
      <c r="A573" s="144" t="s">
        <v>1370</v>
      </c>
      <c r="B573" s="167">
        <v>120.65</v>
      </c>
      <c r="C573" s="167">
        <f>+ROUND($D$2*B573,2)</f>
        <v>0.56000000000000005</v>
      </c>
      <c r="D573" s="167">
        <f>+SUM(B573:C573)</f>
        <v>121.21000000000001</v>
      </c>
    </row>
    <row r="574" spans="1:4" x14ac:dyDescent="0.25">
      <c r="A574" s="144" t="s">
        <v>1369</v>
      </c>
      <c r="B574" s="167">
        <v>127.13</v>
      </c>
      <c r="C574" s="167">
        <f>+ROUND($D$2*B574,2)</f>
        <v>0.59</v>
      </c>
      <c r="D574" s="167">
        <f>+SUM(B574:C574)</f>
        <v>127.72</v>
      </c>
    </row>
    <row r="575" spans="1:4" x14ac:dyDescent="0.25">
      <c r="A575" s="144" t="s">
        <v>1368</v>
      </c>
      <c r="B575" s="167">
        <v>146.59</v>
      </c>
      <c r="C575" s="167">
        <f>+ROUND($D$2*B575,2)</f>
        <v>0.69</v>
      </c>
      <c r="D575" s="167">
        <f>+SUM(B575:C575)</f>
        <v>147.28</v>
      </c>
    </row>
    <row r="576" spans="1:4" x14ac:dyDescent="0.25">
      <c r="A576" s="144" t="s">
        <v>1363</v>
      </c>
      <c r="B576" s="167">
        <v>168.99</v>
      </c>
      <c r="C576" s="167">
        <f>+ROUND($D$2*B576,2)</f>
        <v>0.79</v>
      </c>
      <c r="D576" s="167">
        <f>+SUM(B576:C576)</f>
        <v>169.78</v>
      </c>
    </row>
    <row r="577" spans="1:4" x14ac:dyDescent="0.25">
      <c r="B577" s="167"/>
      <c r="C577" s="167"/>
      <c r="D577" s="167"/>
    </row>
    <row r="578" spans="1:4" x14ac:dyDescent="0.25">
      <c r="A578" s="145" t="s">
        <v>1377</v>
      </c>
      <c r="B578" s="167"/>
      <c r="C578" s="167"/>
      <c r="D578" s="167"/>
    </row>
    <row r="579" spans="1:4" x14ac:dyDescent="0.25">
      <c r="A579" s="144" t="s">
        <v>1371</v>
      </c>
      <c r="B579" s="167">
        <v>153.35</v>
      </c>
      <c r="C579" s="167">
        <f>+ROUND($D$2*B579,2)</f>
        <v>0.72</v>
      </c>
      <c r="D579" s="167">
        <f>+SUM(B579:C579)</f>
        <v>154.07</v>
      </c>
    </row>
    <row r="580" spans="1:4" x14ac:dyDescent="0.25">
      <c r="A580" s="144" t="s">
        <v>1370</v>
      </c>
      <c r="B580" s="167">
        <v>159.82</v>
      </c>
      <c r="C580" s="167">
        <f>+ROUND($D$2*B580,2)</f>
        <v>0.75</v>
      </c>
      <c r="D580" s="167">
        <f>+SUM(B580:C580)</f>
        <v>160.57</v>
      </c>
    </row>
    <row r="581" spans="1:4" x14ac:dyDescent="0.25">
      <c r="A581" s="144" t="s">
        <v>1369</v>
      </c>
      <c r="B581" s="167">
        <v>166.94</v>
      </c>
      <c r="C581" s="167">
        <f>+ROUND($D$2*B581,2)</f>
        <v>0.78</v>
      </c>
      <c r="D581" s="167">
        <f>+SUM(B581:C581)</f>
        <v>167.72</v>
      </c>
    </row>
    <row r="582" spans="1:4" x14ac:dyDescent="0.25">
      <c r="A582" s="144" t="s">
        <v>1368</v>
      </c>
      <c r="B582" s="167">
        <v>202.2</v>
      </c>
      <c r="C582" s="167">
        <f>+ROUND($D$2*B582,2)</f>
        <v>0.95</v>
      </c>
      <c r="D582" s="167">
        <f>+SUM(B582:C582)</f>
        <v>203.14999999999998</v>
      </c>
    </row>
    <row r="583" spans="1:4" x14ac:dyDescent="0.25">
      <c r="A583" s="144" t="s">
        <v>1363</v>
      </c>
      <c r="B583" s="167">
        <v>252.67</v>
      </c>
      <c r="C583" s="167">
        <f>+ROUND($D$2*B583,2)</f>
        <v>1.18</v>
      </c>
      <c r="D583" s="167">
        <f>+SUM(B583:C583)</f>
        <v>253.85</v>
      </c>
    </row>
    <row r="584" spans="1:4" x14ac:dyDescent="0.25">
      <c r="B584" s="167"/>
      <c r="C584" s="167"/>
      <c r="D584" s="167"/>
    </row>
    <row r="585" spans="1:4" s="139" customFormat="1" x14ac:dyDescent="0.25">
      <c r="A585" s="143" t="s">
        <v>1362</v>
      </c>
    </row>
    <row r="586" spans="1:4" x14ac:dyDescent="0.25">
      <c r="A586" s="142" t="s">
        <v>1361</v>
      </c>
      <c r="B586" s="167">
        <v>3.82</v>
      </c>
      <c r="C586" s="167">
        <f>+ROUND($D$2*B586,2)</f>
        <v>0.02</v>
      </c>
      <c r="D586" s="167">
        <f>+SUM(B586:C586)</f>
        <v>3.84</v>
      </c>
    </row>
    <row r="587" spans="1:4" x14ac:dyDescent="0.25">
      <c r="A587" s="142" t="s">
        <v>1375</v>
      </c>
      <c r="B587" s="167">
        <v>12.98</v>
      </c>
      <c r="C587" s="167">
        <f>+ROUND($D$2*B587,2)</f>
        <v>0.06</v>
      </c>
      <c r="D587" s="167">
        <f>+SUM(B587:C587)</f>
        <v>13.040000000000001</v>
      </c>
    </row>
    <row r="588" spans="1:4" x14ac:dyDescent="0.25">
      <c r="B588" s="141"/>
      <c r="C588" s="141"/>
      <c r="D588" s="141"/>
    </row>
    <row r="589" spans="1:4" x14ac:dyDescent="0.25">
      <c r="A589" s="147" t="s">
        <v>1376</v>
      </c>
      <c r="B589" s="146"/>
      <c r="C589" s="146"/>
      <c r="D589" s="146"/>
    </row>
    <row r="590" spans="1:4" x14ac:dyDescent="0.25">
      <c r="A590" s="143" t="s">
        <v>1366</v>
      </c>
      <c r="B590" s="141"/>
      <c r="C590" s="141"/>
      <c r="D590" s="141"/>
    </row>
    <row r="591" spans="1:4" x14ac:dyDescent="0.25">
      <c r="A591" s="145" t="s">
        <v>1365</v>
      </c>
      <c r="B591" s="167"/>
      <c r="C591" s="167"/>
      <c r="D591" s="167"/>
    </row>
    <row r="592" spans="1:4" x14ac:dyDescent="0.25">
      <c r="A592" s="144" t="s">
        <v>1373</v>
      </c>
      <c r="B592" s="167">
        <v>89.4</v>
      </c>
      <c r="C592" s="167">
        <f t="shared" ref="C592:C597" si="7">+ROUND($D$2*B592,2)</f>
        <v>0.42</v>
      </c>
      <c r="D592" s="167">
        <f t="shared" ref="D592:D597" si="8">+SUM(B592:C592)</f>
        <v>89.820000000000007</v>
      </c>
    </row>
    <row r="593" spans="1:4" x14ac:dyDescent="0.25">
      <c r="A593" s="144" t="s">
        <v>1371</v>
      </c>
      <c r="B593" s="167">
        <v>94.69</v>
      </c>
      <c r="C593" s="167">
        <f t="shared" si="7"/>
        <v>0.44</v>
      </c>
      <c r="D593" s="167">
        <f t="shared" si="8"/>
        <v>95.13</v>
      </c>
    </row>
    <row r="594" spans="1:4" x14ac:dyDescent="0.25">
      <c r="A594" s="144" t="s">
        <v>1370</v>
      </c>
      <c r="B594" s="167">
        <v>103.8</v>
      </c>
      <c r="C594" s="167">
        <f t="shared" si="7"/>
        <v>0.49</v>
      </c>
      <c r="D594" s="167">
        <f t="shared" si="8"/>
        <v>104.28999999999999</v>
      </c>
    </row>
    <row r="595" spans="1:4" x14ac:dyDescent="0.25">
      <c r="A595" s="144" t="s">
        <v>1369</v>
      </c>
      <c r="B595" s="167">
        <v>111.59</v>
      </c>
      <c r="C595" s="167">
        <f t="shared" si="7"/>
        <v>0.52</v>
      </c>
      <c r="D595" s="167">
        <f t="shared" si="8"/>
        <v>112.11</v>
      </c>
    </row>
    <row r="596" spans="1:4" x14ac:dyDescent="0.25">
      <c r="A596" s="144" t="s">
        <v>1368</v>
      </c>
      <c r="B596" s="167">
        <v>132.37</v>
      </c>
      <c r="C596" s="167">
        <f t="shared" si="7"/>
        <v>0.62</v>
      </c>
      <c r="D596" s="167">
        <f t="shared" si="8"/>
        <v>132.99</v>
      </c>
    </row>
    <row r="597" spans="1:4" x14ac:dyDescent="0.25">
      <c r="A597" s="144" t="s">
        <v>1363</v>
      </c>
      <c r="B597" s="167">
        <v>149.19999999999999</v>
      </c>
      <c r="C597" s="167">
        <f t="shared" si="7"/>
        <v>0.7</v>
      </c>
      <c r="D597" s="167">
        <f t="shared" si="8"/>
        <v>149.89999999999998</v>
      </c>
    </row>
    <row r="598" spans="1:4" x14ac:dyDescent="0.25">
      <c r="B598" s="167"/>
      <c r="C598" s="167"/>
      <c r="D598" s="167"/>
    </row>
    <row r="599" spans="1:4" s="139" customFormat="1" x14ac:dyDescent="0.25">
      <c r="A599" s="143" t="s">
        <v>1362</v>
      </c>
      <c r="B599" s="174"/>
      <c r="C599" s="174"/>
      <c r="D599" s="174"/>
    </row>
    <row r="600" spans="1:4" x14ac:dyDescent="0.25">
      <c r="A600" s="142" t="s">
        <v>1361</v>
      </c>
      <c r="B600" s="167">
        <v>3.82</v>
      </c>
      <c r="C600" s="167">
        <f>+ROUND($D$2*B600,2)</f>
        <v>0.02</v>
      </c>
      <c r="D600" s="167">
        <f>+SUM(B600:C600)</f>
        <v>3.84</v>
      </c>
    </row>
    <row r="601" spans="1:4" x14ac:dyDescent="0.25">
      <c r="A601" s="142" t="s">
        <v>1375</v>
      </c>
      <c r="B601" s="167">
        <v>12.98</v>
      </c>
      <c r="C601" s="167">
        <f>+ROUND($D$2*B601,2)</f>
        <v>0.06</v>
      </c>
      <c r="D601" s="167">
        <f>+SUM(B601:C601)</f>
        <v>13.040000000000001</v>
      </c>
    </row>
    <row r="602" spans="1:4" x14ac:dyDescent="0.25">
      <c r="B602" s="141"/>
      <c r="C602" s="141"/>
      <c r="D602" s="141"/>
    </row>
    <row r="603" spans="1:4" x14ac:dyDescent="0.25">
      <c r="A603" s="147" t="s">
        <v>1374</v>
      </c>
      <c r="B603" s="146"/>
      <c r="C603" s="146"/>
      <c r="D603" s="146"/>
    </row>
    <row r="604" spans="1:4" x14ac:dyDescent="0.25">
      <c r="A604" s="143" t="s">
        <v>1366</v>
      </c>
      <c r="B604" s="141"/>
      <c r="C604" s="141"/>
      <c r="D604" s="141"/>
    </row>
    <row r="605" spans="1:4" x14ac:dyDescent="0.25">
      <c r="A605" s="145" t="s">
        <v>1365</v>
      </c>
      <c r="B605" s="167"/>
      <c r="C605" s="167"/>
      <c r="D605" s="167"/>
    </row>
    <row r="606" spans="1:4" x14ac:dyDescent="0.25">
      <c r="A606" s="144" t="s">
        <v>1373</v>
      </c>
      <c r="B606" s="167">
        <v>136.22999999999999</v>
      </c>
      <c r="C606" s="167">
        <f t="shared" ref="C606:C612" si="9">+ROUND($D$2*B606,2)</f>
        <v>0.64</v>
      </c>
      <c r="D606" s="167">
        <f t="shared" ref="D606:D612" si="10">+SUM(B606:C606)</f>
        <v>136.86999999999998</v>
      </c>
    </row>
    <row r="607" spans="1:4" x14ac:dyDescent="0.25">
      <c r="A607" s="144" t="s">
        <v>1372</v>
      </c>
      <c r="B607" s="167">
        <v>140.76</v>
      </c>
      <c r="C607" s="167">
        <f t="shared" si="9"/>
        <v>0.66</v>
      </c>
      <c r="D607" s="167">
        <f t="shared" si="10"/>
        <v>141.41999999999999</v>
      </c>
    </row>
    <row r="608" spans="1:4" x14ac:dyDescent="0.25">
      <c r="A608" s="144" t="s">
        <v>1371</v>
      </c>
      <c r="B608" s="167">
        <v>140.76</v>
      </c>
      <c r="C608" s="167">
        <f t="shared" si="9"/>
        <v>0.66</v>
      </c>
      <c r="D608" s="167">
        <f t="shared" si="10"/>
        <v>141.41999999999999</v>
      </c>
    </row>
    <row r="609" spans="1:6" x14ac:dyDescent="0.25">
      <c r="A609" s="144" t="s">
        <v>1370</v>
      </c>
      <c r="B609" s="167">
        <v>146</v>
      </c>
      <c r="C609" s="167">
        <f t="shared" si="9"/>
        <v>0.68</v>
      </c>
      <c r="D609" s="167">
        <f t="shared" si="10"/>
        <v>146.68</v>
      </c>
    </row>
    <row r="610" spans="1:6" x14ac:dyDescent="0.25">
      <c r="A610" s="144" t="s">
        <v>1369</v>
      </c>
      <c r="B610" s="167">
        <v>155.04</v>
      </c>
      <c r="C610" s="167">
        <f t="shared" si="9"/>
        <v>0.73</v>
      </c>
      <c r="D610" s="167">
        <f t="shared" si="10"/>
        <v>155.76999999999998</v>
      </c>
    </row>
    <row r="611" spans="1:6" x14ac:dyDescent="0.25">
      <c r="A611" s="144" t="s">
        <v>1368</v>
      </c>
      <c r="B611" s="167">
        <v>160.28</v>
      </c>
      <c r="C611" s="167">
        <f t="shared" si="9"/>
        <v>0.75</v>
      </c>
      <c r="D611" s="167">
        <f t="shared" si="10"/>
        <v>161.03</v>
      </c>
    </row>
    <row r="612" spans="1:6" x14ac:dyDescent="0.25">
      <c r="A612" s="144" t="s">
        <v>1363</v>
      </c>
      <c r="B612" s="167">
        <v>166.7</v>
      </c>
      <c r="C612" s="167">
        <f t="shared" si="9"/>
        <v>0.78</v>
      </c>
      <c r="D612" s="167">
        <f t="shared" si="10"/>
        <v>167.48</v>
      </c>
    </row>
    <row r="613" spans="1:6" x14ac:dyDescent="0.25">
      <c r="B613" s="167"/>
      <c r="C613" s="167"/>
      <c r="D613" s="167"/>
    </row>
    <row r="614" spans="1:6" s="139" customFormat="1" x14ac:dyDescent="0.25">
      <c r="A614" s="143" t="s">
        <v>1362</v>
      </c>
      <c r="B614" s="174"/>
      <c r="C614" s="174"/>
      <c r="D614" s="174"/>
    </row>
    <row r="615" spans="1:6" x14ac:dyDescent="0.25">
      <c r="A615" s="142" t="s">
        <v>1361</v>
      </c>
      <c r="B615" s="167">
        <v>3.82</v>
      </c>
      <c r="C615" s="167">
        <f>+ROUND($D$2*B615,2)</f>
        <v>0.02</v>
      </c>
      <c r="D615" s="167">
        <f>+SUM(B615:C615)</f>
        <v>3.84</v>
      </c>
    </row>
    <row r="616" spans="1:6" x14ac:dyDescent="0.25">
      <c r="A616" s="142" t="s">
        <v>1360</v>
      </c>
      <c r="B616" s="167">
        <v>7.14</v>
      </c>
      <c r="C616" s="167">
        <f>+ROUND($D$2*B616,2)</f>
        <v>0.03</v>
      </c>
      <c r="D616" s="167">
        <f>+SUM(B616:C616)</f>
        <v>7.17</v>
      </c>
    </row>
    <row r="617" spans="1:6" x14ac:dyDescent="0.25">
      <c r="A617" s="166" t="s">
        <v>1375</v>
      </c>
      <c r="B617" s="167">
        <v>12.98</v>
      </c>
      <c r="C617" s="167">
        <f>+ROUND($D$2*B617,2)</f>
        <v>0.06</v>
      </c>
      <c r="D617" s="167">
        <f>+SUM(B617:C617)</f>
        <v>13.040000000000001</v>
      </c>
    </row>
    <row r="618" spans="1:6" x14ac:dyDescent="0.25">
      <c r="A618" s="147" t="s">
        <v>1367</v>
      </c>
      <c r="B618" s="146"/>
      <c r="C618" s="146"/>
      <c r="D618" s="146"/>
    </row>
    <row r="619" spans="1:6" x14ac:dyDescent="0.25">
      <c r="A619" s="143" t="s">
        <v>1366</v>
      </c>
      <c r="B619" s="141"/>
      <c r="C619" s="141"/>
      <c r="D619" s="141"/>
    </row>
    <row r="620" spans="1:6" x14ac:dyDescent="0.25">
      <c r="A620" s="145" t="s">
        <v>1365</v>
      </c>
      <c r="B620" s="167"/>
      <c r="C620" s="167"/>
      <c r="D620" s="167"/>
      <c r="E620" s="155"/>
      <c r="F620" s="155"/>
    </row>
    <row r="621" spans="1:6" x14ac:dyDescent="0.25">
      <c r="A621" s="144" t="s">
        <v>1364</v>
      </c>
      <c r="B621" s="167">
        <v>177.72</v>
      </c>
      <c r="C621" s="167">
        <f>+ROUND($D$2*B621,2)</f>
        <v>0.83</v>
      </c>
      <c r="D621" s="167">
        <f>+SUM(B621:C621)</f>
        <v>178.55</v>
      </c>
      <c r="E621" s="155"/>
      <c r="F621" s="155"/>
    </row>
    <row r="622" spans="1:6" x14ac:dyDescent="0.25">
      <c r="A622" s="144" t="s">
        <v>1363</v>
      </c>
      <c r="B622" s="167">
        <v>190.81</v>
      </c>
      <c r="C622" s="167">
        <f>+ROUND($D$2*B622,2)</f>
        <v>0.89</v>
      </c>
      <c r="D622" s="167">
        <f>+SUM(B622:C622)</f>
        <v>191.7</v>
      </c>
      <c r="E622" s="155"/>
      <c r="F622" s="155"/>
    </row>
    <row r="623" spans="1:6" x14ac:dyDescent="0.25">
      <c r="B623" s="167"/>
      <c r="C623" s="167"/>
      <c r="D623" s="167"/>
      <c r="E623" s="155"/>
      <c r="F623" s="155"/>
    </row>
    <row r="624" spans="1:6" s="139" customFormat="1" x14ac:dyDescent="0.25">
      <c r="A624" s="143" t="s">
        <v>1362</v>
      </c>
      <c r="B624" s="174"/>
      <c r="C624" s="174"/>
      <c r="D624" s="174"/>
      <c r="E624" s="174"/>
      <c r="F624" s="174"/>
    </row>
    <row r="625" spans="1:6" x14ac:dyDescent="0.25">
      <c r="A625" s="142" t="s">
        <v>1361</v>
      </c>
      <c r="B625" s="167">
        <v>3.82</v>
      </c>
      <c r="C625" s="167">
        <f>+ROUND($D$2*B625,2)</f>
        <v>0.02</v>
      </c>
      <c r="D625" s="167">
        <f>+SUM(B625:C625)</f>
        <v>3.84</v>
      </c>
      <c r="E625" s="155"/>
      <c r="F625" s="155"/>
    </row>
    <row r="626" spans="1:6" x14ac:dyDescent="0.25">
      <c r="A626" s="142" t="s">
        <v>1360</v>
      </c>
      <c r="B626" s="167">
        <v>7.14</v>
      </c>
      <c r="C626" s="167">
        <f>+ROUND($D$2*B626,2)</f>
        <v>0.03</v>
      </c>
      <c r="D626" s="167">
        <f>+SUM(B626:C626)</f>
        <v>7.17</v>
      </c>
      <c r="E626" s="155"/>
      <c r="F626" s="155"/>
    </row>
    <row r="627" spans="1:6" x14ac:dyDescent="0.25">
      <c r="A627" s="166" t="s">
        <v>1375</v>
      </c>
      <c r="B627" s="167">
        <v>12.98</v>
      </c>
      <c r="C627" s="167">
        <f>+ROUND($D$2*B627,2)</f>
        <v>0.06</v>
      </c>
      <c r="D627" s="167">
        <f>+SUM(B627:C627)</f>
        <v>13.040000000000001</v>
      </c>
      <c r="E627" s="155"/>
      <c r="F627" s="155"/>
    </row>
    <row r="628" spans="1:6" x14ac:dyDescent="0.25">
      <c r="B628" s="155"/>
      <c r="C628" s="155"/>
      <c r="D628" s="155"/>
      <c r="E628" s="155"/>
      <c r="F628" s="155"/>
    </row>
    <row r="629" spans="1:6" x14ac:dyDescent="0.25">
      <c r="B629" s="155"/>
      <c r="C629" s="155"/>
      <c r="D629" s="155"/>
      <c r="E629" s="155"/>
      <c r="F629" s="155"/>
    </row>
    <row r="630" spans="1:6" x14ac:dyDescent="0.25">
      <c r="B630" s="155"/>
      <c r="C630" s="155"/>
      <c r="D630" s="155"/>
      <c r="E630" s="155"/>
      <c r="F630" s="155"/>
    </row>
  </sheetData>
  <mergeCells count="1">
    <mergeCell ref="C1:D1"/>
  </mergeCells>
  <pageMargins left="0.7" right="0.7" top="0.5" bottom="0.5" header="0.3" footer="0.3"/>
  <pageSetup scale="42" fitToHeight="6" pageOrder="overThenDown" orientation="portrait" errors="blank" r:id="rId1"/>
  <headerFooter>
    <oddFooter>&amp;RPage &amp;P of &amp;N</oddFooter>
  </headerFooter>
  <rowBreaks count="13" manualBreakCount="13">
    <brk id="50" max="3" man="1"/>
    <brk id="84" max="3" man="1"/>
    <brk id="117" max="3" man="1"/>
    <brk id="149" max="3" man="1"/>
    <brk id="200" max="3" man="1"/>
    <brk id="250" max="3" man="1"/>
    <brk id="285" max="3" man="1"/>
    <brk id="339" max="3" man="1"/>
    <brk id="378" max="3" man="1"/>
    <brk id="431" max="3" man="1"/>
    <brk id="477" max="3" man="1"/>
    <brk id="526" max="3" man="1"/>
    <brk id="576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AL164"/>
  <sheetViews>
    <sheetView showGridLines="0" view="pageBreakPreview" topLeftCell="A28" zoomScale="60" zoomScaleNormal="90" workbookViewId="0">
      <selection activeCell="A548" activeCellId="1" sqref="A551:G853 A9:O548"/>
    </sheetView>
  </sheetViews>
  <sheetFormatPr defaultRowHeight="15.75" x14ac:dyDescent="0.25"/>
  <cols>
    <col min="1" max="1" width="5.28515625" style="191" customWidth="1"/>
    <col min="2" max="2" width="24" style="190" customWidth="1"/>
    <col min="3" max="10" width="9.42578125" style="191" customWidth="1"/>
    <col min="11" max="11" width="4" style="192" customWidth="1"/>
    <col min="12" max="12" width="1.7109375" style="191" customWidth="1"/>
    <col min="13" max="13" width="24" style="191" customWidth="1"/>
    <col min="14" max="21" width="9.42578125" style="191" customWidth="1"/>
    <col min="22" max="22" width="4" style="191" customWidth="1"/>
    <col min="23" max="23" width="24" style="191" customWidth="1"/>
    <col min="24" max="31" width="9.42578125" style="191" customWidth="1"/>
    <col min="32" max="32" width="2.85546875" style="191" customWidth="1"/>
    <col min="33" max="33" width="2.5703125" style="191" customWidth="1"/>
    <col min="34" max="34" width="13" style="191" customWidth="1"/>
    <col min="35" max="35" width="12.5703125" style="191" customWidth="1"/>
    <col min="36" max="16384" width="9.140625" style="191"/>
  </cols>
  <sheetData>
    <row r="1" spans="1:38" s="188" customFormat="1" ht="15" customHeight="1" x14ac:dyDescent="0.3">
      <c r="A1" s="186" t="s">
        <v>1554</v>
      </c>
      <c r="B1" s="187"/>
      <c r="K1" s="189"/>
    </row>
    <row r="2" spans="1:38" ht="15" customHeight="1" x14ac:dyDescent="0.3">
      <c r="A2" s="186" t="s">
        <v>1555</v>
      </c>
      <c r="C2" s="357" t="s">
        <v>1597</v>
      </c>
    </row>
    <row r="3" spans="1:38" ht="15" customHeight="1" x14ac:dyDescent="0.3">
      <c r="A3" s="193" t="s">
        <v>1556</v>
      </c>
    </row>
    <row r="4" spans="1:38" s="198" customFormat="1" ht="15" customHeight="1" thickBot="1" x14ac:dyDescent="0.3">
      <c r="A4" s="194"/>
      <c r="B4" s="195" t="s">
        <v>1557</v>
      </c>
      <c r="C4" s="196"/>
      <c r="D4" s="196"/>
      <c r="E4" s="196"/>
      <c r="F4" s="197"/>
      <c r="G4" s="197"/>
      <c r="H4" s="197"/>
      <c r="I4" s="197"/>
      <c r="J4" s="196"/>
      <c r="M4" s="199" t="s">
        <v>1558</v>
      </c>
      <c r="W4" s="199" t="s">
        <v>1559</v>
      </c>
    </row>
    <row r="5" spans="1:38" ht="48" thickBot="1" x14ac:dyDescent="0.3">
      <c r="B5" s="200" t="s">
        <v>1560</v>
      </c>
      <c r="C5" s="201" t="s">
        <v>1561</v>
      </c>
      <c r="D5" s="201" t="s">
        <v>1562</v>
      </c>
      <c r="E5" s="201" t="s">
        <v>1563</v>
      </c>
      <c r="F5" s="201" t="s">
        <v>1564</v>
      </c>
      <c r="G5" s="201" t="s">
        <v>1565</v>
      </c>
      <c r="H5" s="201" t="s">
        <v>1566</v>
      </c>
      <c r="I5" s="201" t="s">
        <v>1567</v>
      </c>
      <c r="J5" s="202" t="s">
        <v>541</v>
      </c>
      <c r="M5" s="200" t="s">
        <v>1560</v>
      </c>
      <c r="N5" s="201" t="s">
        <v>1561</v>
      </c>
      <c r="O5" s="201" t="s">
        <v>1562</v>
      </c>
      <c r="P5" s="201" t="s">
        <v>1563</v>
      </c>
      <c r="Q5" s="201" t="s">
        <v>1564</v>
      </c>
      <c r="R5" s="201" t="s">
        <v>1565</v>
      </c>
      <c r="S5" s="201" t="s">
        <v>1566</v>
      </c>
      <c r="T5" s="201" t="s">
        <v>1567</v>
      </c>
      <c r="U5" s="202" t="s">
        <v>541</v>
      </c>
      <c r="W5" s="200" t="s">
        <v>1560</v>
      </c>
      <c r="X5" s="201" t="s">
        <v>1561</v>
      </c>
      <c r="Y5" s="201" t="s">
        <v>1562</v>
      </c>
      <c r="Z5" s="201" t="s">
        <v>1563</v>
      </c>
      <c r="AA5" s="201" t="s">
        <v>1564</v>
      </c>
      <c r="AB5" s="201" t="s">
        <v>1565</v>
      </c>
      <c r="AC5" s="201" t="s">
        <v>1566</v>
      </c>
      <c r="AD5" s="201" t="s">
        <v>1567</v>
      </c>
      <c r="AE5" s="202" t="s">
        <v>541</v>
      </c>
      <c r="AI5" s="201" t="s">
        <v>1561</v>
      </c>
      <c r="AJ5" s="201" t="s">
        <v>1563</v>
      </c>
      <c r="AK5" s="201" t="s">
        <v>1568</v>
      </c>
    </row>
    <row r="6" spans="1:38" ht="7.5" customHeight="1" x14ac:dyDescent="0.25">
      <c r="A6" s="203"/>
      <c r="B6" s="204"/>
      <c r="C6" s="205"/>
      <c r="D6" s="205"/>
      <c r="E6" s="205"/>
      <c r="F6" s="205"/>
      <c r="G6" s="205"/>
      <c r="H6" s="205"/>
      <c r="I6" s="205"/>
      <c r="J6" s="206"/>
      <c r="M6" s="204"/>
      <c r="N6" s="205"/>
      <c r="O6" s="205"/>
      <c r="P6" s="205"/>
      <c r="Q6" s="205"/>
      <c r="R6" s="205"/>
      <c r="S6" s="205"/>
      <c r="T6" s="205"/>
      <c r="U6" s="206"/>
      <c r="W6" s="204"/>
      <c r="X6" s="205"/>
      <c r="Y6" s="205"/>
      <c r="Z6" s="205"/>
      <c r="AA6" s="205"/>
      <c r="AB6" s="205"/>
      <c r="AC6" s="205"/>
      <c r="AD6" s="205"/>
      <c r="AE6" s="206"/>
    </row>
    <row r="7" spans="1:38" ht="13.5" customHeight="1" x14ac:dyDescent="0.25">
      <c r="A7" s="207"/>
      <c r="B7" s="208" t="s">
        <v>1541</v>
      </c>
      <c r="C7" s="209">
        <v>955.67000000000007</v>
      </c>
      <c r="D7" s="209">
        <v>0</v>
      </c>
      <c r="E7" s="209">
        <v>83.215000000000003</v>
      </c>
      <c r="F7" s="209">
        <v>445.58499999999998</v>
      </c>
      <c r="G7" s="209">
        <v>0</v>
      </c>
      <c r="H7" s="209">
        <v>0</v>
      </c>
      <c r="I7" s="209">
        <v>0</v>
      </c>
      <c r="J7" s="210">
        <f>SUM(C7:I7)</f>
        <v>1484.47</v>
      </c>
      <c r="K7" s="211"/>
      <c r="L7" s="212"/>
      <c r="M7" s="208" t="s">
        <v>1541</v>
      </c>
      <c r="N7" s="209">
        <f>$C$25*(C7/($C$7+$C$11+$C$13+$C$15))</f>
        <v>135.14029959923178</v>
      </c>
      <c r="O7" s="209"/>
      <c r="P7" s="209"/>
      <c r="Q7" s="209">
        <f>$F$25*(F7/($F$7+$F$11+$F$13+$F$15))</f>
        <v>62.426633027238182</v>
      </c>
      <c r="R7" s="209"/>
      <c r="S7" s="209"/>
      <c r="T7" s="209"/>
      <c r="U7" s="210">
        <f>SUM(N7:T7)</f>
        <v>197.56693262646996</v>
      </c>
      <c r="W7" s="208" t="s">
        <v>1541</v>
      </c>
      <c r="X7" s="209">
        <f>C7+N7</f>
        <v>1090.8102995992319</v>
      </c>
      <c r="Y7" s="209"/>
      <c r="Z7" s="209">
        <f t="shared" ref="Z7:AD7" si="0">E7+P7</f>
        <v>83.215000000000003</v>
      </c>
      <c r="AA7" s="209">
        <f t="shared" si="0"/>
        <v>508.01163302723819</v>
      </c>
      <c r="AB7" s="209">
        <f t="shared" si="0"/>
        <v>0</v>
      </c>
      <c r="AC7" s="209">
        <f t="shared" si="0"/>
        <v>0</v>
      </c>
      <c r="AD7" s="209">
        <f t="shared" si="0"/>
        <v>0</v>
      </c>
      <c r="AE7" s="210">
        <f>SUM(X7:AD7)</f>
        <v>1682.0369326264699</v>
      </c>
      <c r="AH7" s="213" t="s">
        <v>1569</v>
      </c>
      <c r="AI7" s="214">
        <f>SUM(C7:D7)/J7</f>
        <v>0.64377858764407503</v>
      </c>
      <c r="AJ7" s="214">
        <f>E7/J7</f>
        <v>5.6057043928135972E-2</v>
      </c>
      <c r="AK7" s="214">
        <f>SUM(F7:H7)/J7</f>
        <v>0.30016436842778904</v>
      </c>
      <c r="AL7" s="215">
        <f>SUM(AI7:AK7)</f>
        <v>1</v>
      </c>
    </row>
    <row r="8" spans="1:38" ht="7.5" customHeight="1" x14ac:dyDescent="0.25">
      <c r="A8" s="207"/>
      <c r="B8" s="216"/>
      <c r="C8" s="217"/>
      <c r="D8" s="217"/>
      <c r="E8" s="217"/>
      <c r="F8" s="217"/>
      <c r="G8" s="217"/>
      <c r="H8" s="217"/>
      <c r="I8" s="217"/>
      <c r="J8" s="218"/>
      <c r="K8" s="211"/>
      <c r="L8" s="219"/>
      <c r="M8" s="216"/>
      <c r="N8" s="217"/>
      <c r="O8" s="217"/>
      <c r="P8" s="217"/>
      <c r="Q8" s="217"/>
      <c r="R8" s="217"/>
      <c r="S8" s="217"/>
      <c r="T8" s="217"/>
      <c r="U8" s="218"/>
      <c r="W8" s="216"/>
      <c r="X8" s="217"/>
      <c r="Y8" s="217"/>
      <c r="Z8" s="217"/>
      <c r="AA8" s="217"/>
      <c r="AB8" s="217"/>
      <c r="AC8" s="217"/>
      <c r="AD8" s="217"/>
      <c r="AE8" s="218"/>
      <c r="AH8" s="213"/>
      <c r="AI8" s="220"/>
      <c r="AJ8" s="220"/>
      <c r="AK8" s="220"/>
    </row>
    <row r="9" spans="1:38" ht="13.5" customHeight="1" x14ac:dyDescent="0.25">
      <c r="A9" s="207"/>
      <c r="B9" s="208" t="s">
        <v>1570</v>
      </c>
      <c r="C9" s="209">
        <v>318.16999999999996</v>
      </c>
      <c r="D9" s="209">
        <v>0</v>
      </c>
      <c r="E9" s="209">
        <v>13.225</v>
      </c>
      <c r="F9" s="209">
        <v>96.59</v>
      </c>
      <c r="G9" s="209">
        <v>0</v>
      </c>
      <c r="H9" s="209">
        <v>1238.9549999999999</v>
      </c>
      <c r="I9" s="209">
        <v>0</v>
      </c>
      <c r="J9" s="210">
        <f>SUM(C9:I9)</f>
        <v>1666.94</v>
      </c>
      <c r="K9" s="211"/>
      <c r="L9" s="212"/>
      <c r="M9" s="208" t="s">
        <v>1570</v>
      </c>
      <c r="N9" s="209"/>
      <c r="O9" s="209"/>
      <c r="P9" s="209"/>
      <c r="Q9" s="209"/>
      <c r="R9" s="209"/>
      <c r="S9" s="209"/>
      <c r="T9" s="209"/>
      <c r="U9" s="210">
        <f>SUM(N9:T9)</f>
        <v>0</v>
      </c>
      <c r="W9" s="208" t="s">
        <v>1570</v>
      </c>
      <c r="X9" s="209">
        <f>C9+N9</f>
        <v>318.16999999999996</v>
      </c>
      <c r="Y9" s="209"/>
      <c r="Z9" s="209">
        <f t="shared" ref="Z9:AD9" si="1">E9+P9</f>
        <v>13.225</v>
      </c>
      <c r="AA9" s="209">
        <f t="shared" si="1"/>
        <v>96.59</v>
      </c>
      <c r="AB9" s="209">
        <f t="shared" si="1"/>
        <v>0</v>
      </c>
      <c r="AC9" s="209">
        <f t="shared" si="1"/>
        <v>1238.9549999999999</v>
      </c>
      <c r="AD9" s="209">
        <f t="shared" si="1"/>
        <v>0</v>
      </c>
      <c r="AE9" s="210">
        <f>SUM(X9:AD9)</f>
        <v>1666.94</v>
      </c>
      <c r="AH9" s="213" t="s">
        <v>1550</v>
      </c>
      <c r="AI9" s="214">
        <f>SUM(C9:D9)/J9</f>
        <v>0.19087069720565825</v>
      </c>
      <c r="AJ9" s="214">
        <f>E9/J9</f>
        <v>7.933698873384765E-3</v>
      </c>
      <c r="AK9" s="214">
        <f>SUM(F9:H9)/J9</f>
        <v>0.80119560392095679</v>
      </c>
      <c r="AL9" s="215">
        <f>SUM(AI9:AK9)</f>
        <v>0.99999999999999978</v>
      </c>
    </row>
    <row r="10" spans="1:38" ht="7.5" customHeight="1" x14ac:dyDescent="0.25">
      <c r="A10" s="207"/>
      <c r="B10" s="216"/>
      <c r="C10" s="217"/>
      <c r="D10" s="217"/>
      <c r="E10" s="217"/>
      <c r="F10" s="217"/>
      <c r="G10" s="217"/>
      <c r="H10" s="217"/>
      <c r="I10" s="217"/>
      <c r="J10" s="218"/>
      <c r="K10" s="211"/>
      <c r="L10" s="219"/>
      <c r="M10" s="216"/>
      <c r="N10" s="217"/>
      <c r="O10" s="217"/>
      <c r="P10" s="217"/>
      <c r="Q10" s="217"/>
      <c r="R10" s="217"/>
      <c r="S10" s="217"/>
      <c r="T10" s="217"/>
      <c r="U10" s="218"/>
      <c r="W10" s="216"/>
      <c r="X10" s="217"/>
      <c r="Y10" s="217"/>
      <c r="Z10" s="217"/>
      <c r="AA10" s="217"/>
      <c r="AB10" s="217"/>
      <c r="AC10" s="217"/>
      <c r="AD10" s="217"/>
      <c r="AE10" s="218"/>
      <c r="AH10" s="213"/>
    </row>
    <row r="11" spans="1:38" ht="13.5" customHeight="1" x14ac:dyDescent="0.25">
      <c r="A11" s="207"/>
      <c r="B11" s="208" t="s">
        <v>1571</v>
      </c>
      <c r="C11" s="209">
        <v>418.72</v>
      </c>
      <c r="D11" s="209">
        <v>0</v>
      </c>
      <c r="E11" s="209">
        <v>25.265000000000001</v>
      </c>
      <c r="F11" s="209">
        <v>170.38499999999999</v>
      </c>
      <c r="G11" s="209">
        <v>0</v>
      </c>
      <c r="H11" s="209">
        <v>0</v>
      </c>
      <c r="I11" s="209">
        <v>0</v>
      </c>
      <c r="J11" s="210">
        <f>SUM(C11:I11)</f>
        <v>614.37</v>
      </c>
      <c r="K11" s="211"/>
      <c r="L11" s="212"/>
      <c r="M11" s="208" t="s">
        <v>1571</v>
      </c>
      <c r="N11" s="209">
        <f>$C$25*(C11/($C$7+$C$11+$C$13+$C$15))</f>
        <v>59.210759203689904</v>
      </c>
      <c r="O11" s="209"/>
      <c r="P11" s="209"/>
      <c r="Q11" s="209">
        <f>$F$25*(F11/($F$7+$F$11+$F$13+$F$15))</f>
        <v>23.871005236590054</v>
      </c>
      <c r="R11" s="209"/>
      <c r="S11" s="209"/>
      <c r="T11" s="209"/>
      <c r="U11" s="210">
        <f>SUM(N11:T11)</f>
        <v>83.081764440279954</v>
      </c>
      <c r="W11" s="208" t="s">
        <v>1571</v>
      </c>
      <c r="X11" s="209">
        <f>C11+N11</f>
        <v>477.93075920368995</v>
      </c>
      <c r="Y11" s="209"/>
      <c r="Z11" s="209">
        <f t="shared" ref="Z11:AD11" si="2">E11+P11</f>
        <v>25.265000000000001</v>
      </c>
      <c r="AA11" s="209">
        <f t="shared" si="2"/>
        <v>194.25600523659006</v>
      </c>
      <c r="AB11" s="209">
        <f t="shared" si="2"/>
        <v>0</v>
      </c>
      <c r="AC11" s="209">
        <f t="shared" si="2"/>
        <v>0</v>
      </c>
      <c r="AD11" s="209">
        <f t="shared" si="2"/>
        <v>0</v>
      </c>
      <c r="AE11" s="210">
        <f>SUM(X11:AD11)</f>
        <v>697.45176444027993</v>
      </c>
      <c r="AH11" s="213" t="s">
        <v>1547</v>
      </c>
      <c r="AI11" s="214">
        <f>SUM(C11:D11,C15:D15,C17:D17,C19:D19,C23:D23)/SUM(J11,J15,J17,J19,J23)</f>
        <v>0.4540421768654479</v>
      </c>
      <c r="AJ11" s="214">
        <f>SUM(E11,E15,E17,E19,E23)/SUM(J11,J15,J17,J19,J23)</f>
        <v>1.9685913643783529E-2</v>
      </c>
      <c r="AK11" s="214">
        <f>SUM(F11:H11,F15:H19,F23:H23)/SUM(J11,J15:J19,J23)</f>
        <v>0.52627190949076863</v>
      </c>
      <c r="AL11" s="215">
        <f>SUM(AI11:AK11)</f>
        <v>1</v>
      </c>
    </row>
    <row r="12" spans="1:38" ht="7.5" customHeight="1" x14ac:dyDescent="0.25">
      <c r="A12" s="207"/>
      <c r="B12" s="216"/>
      <c r="C12" s="217"/>
      <c r="D12" s="217"/>
      <c r="E12" s="217"/>
      <c r="F12" s="217"/>
      <c r="G12" s="217"/>
      <c r="H12" s="217"/>
      <c r="I12" s="217"/>
      <c r="J12" s="218"/>
      <c r="K12" s="211"/>
      <c r="L12" s="219"/>
      <c r="M12" s="216"/>
      <c r="N12" s="217"/>
      <c r="O12" s="217"/>
      <c r="P12" s="217"/>
      <c r="Q12" s="217"/>
      <c r="R12" s="217"/>
      <c r="S12" s="217"/>
      <c r="T12" s="217"/>
      <c r="U12" s="218"/>
      <c r="W12" s="216"/>
      <c r="X12" s="217"/>
      <c r="Y12" s="217"/>
      <c r="Z12" s="217"/>
      <c r="AA12" s="217"/>
      <c r="AB12" s="217"/>
      <c r="AC12" s="217"/>
      <c r="AD12" s="217"/>
      <c r="AE12" s="218"/>
      <c r="AK12" s="220"/>
    </row>
    <row r="13" spans="1:38" ht="13.5" customHeight="1" x14ac:dyDescent="0.25">
      <c r="A13" s="207"/>
      <c r="B13" s="208" t="s">
        <v>1572</v>
      </c>
      <c r="C13" s="209">
        <v>238.815</v>
      </c>
      <c r="D13" s="209">
        <v>0</v>
      </c>
      <c r="E13" s="209">
        <v>0</v>
      </c>
      <c r="F13" s="209">
        <v>104.035</v>
      </c>
      <c r="G13" s="209">
        <v>0</v>
      </c>
      <c r="H13" s="209">
        <v>0</v>
      </c>
      <c r="I13" s="209">
        <v>0</v>
      </c>
      <c r="J13" s="210">
        <f>SUM(C13:I13)</f>
        <v>342.85</v>
      </c>
      <c r="K13" s="211"/>
      <c r="L13" s="212"/>
      <c r="M13" s="208" t="s">
        <v>1572</v>
      </c>
      <c r="N13" s="209">
        <f>$C$25*(C13/($C$7+$C$11+$C$13+$C$15))</f>
        <v>33.770580481537067</v>
      </c>
      <c r="O13" s="209"/>
      <c r="P13" s="209"/>
      <c r="Q13" s="209">
        <f>$F$25*(F13/($F$7+$F$11+$F$13+$F$15))</f>
        <v>14.575344248546799</v>
      </c>
      <c r="R13" s="209"/>
      <c r="S13" s="209"/>
      <c r="T13" s="209"/>
      <c r="U13" s="210">
        <f>SUM(N13:T13)</f>
        <v>48.345924730083865</v>
      </c>
      <c r="W13" s="208" t="s">
        <v>1572</v>
      </c>
      <c r="X13" s="209">
        <f>C13+N13</f>
        <v>272.58558048153708</v>
      </c>
      <c r="Y13" s="209"/>
      <c r="Z13" s="209">
        <f t="shared" ref="Z13:AD13" si="3">E13+P13</f>
        <v>0</v>
      </c>
      <c r="AA13" s="209">
        <f t="shared" si="3"/>
        <v>118.6103442485468</v>
      </c>
      <c r="AB13" s="209">
        <f t="shared" si="3"/>
        <v>0</v>
      </c>
      <c r="AC13" s="209">
        <f t="shared" si="3"/>
        <v>0</v>
      </c>
      <c r="AD13" s="209">
        <f t="shared" si="3"/>
        <v>0</v>
      </c>
      <c r="AE13" s="210">
        <f>SUM(X13:AD13)</f>
        <v>391.1959247300839</v>
      </c>
      <c r="AH13" s="213" t="s">
        <v>1573</v>
      </c>
      <c r="AI13" s="214">
        <f>SUM(C31:C33,C37)/SUM(J31:J33,J37)</f>
        <v>0.56174929481293412</v>
      </c>
      <c r="AJ13" s="214">
        <f>SUM(E31:E33,E37)/SUM(J31:J33,J37)</f>
        <v>0</v>
      </c>
      <c r="AK13" s="214">
        <f>SUM(F31:H33,F37:H37)/SUM(J31:J33,J37)</f>
        <v>0.43825070518706583</v>
      </c>
      <c r="AL13" s="215">
        <f>SUM(AI13:AK13)</f>
        <v>1</v>
      </c>
    </row>
    <row r="14" spans="1:38" ht="7.5" customHeight="1" x14ac:dyDescent="0.25">
      <c r="A14" s="207"/>
      <c r="B14" s="216"/>
      <c r="C14" s="217"/>
      <c r="D14" s="217"/>
      <c r="E14" s="217"/>
      <c r="F14" s="217"/>
      <c r="G14" s="217"/>
      <c r="H14" s="217"/>
      <c r="I14" s="217"/>
      <c r="J14" s="218"/>
      <c r="K14" s="211"/>
      <c r="L14" s="219"/>
      <c r="M14" s="216"/>
      <c r="N14" s="217"/>
      <c r="O14" s="217"/>
      <c r="P14" s="217"/>
      <c r="Q14" s="217"/>
      <c r="R14" s="217"/>
      <c r="S14" s="217"/>
      <c r="T14" s="217"/>
      <c r="U14" s="218"/>
      <c r="W14" s="216"/>
      <c r="X14" s="217"/>
      <c r="Y14" s="217"/>
      <c r="Z14" s="217"/>
      <c r="AA14" s="217"/>
      <c r="AB14" s="217"/>
      <c r="AC14" s="217"/>
      <c r="AD14" s="217"/>
      <c r="AE14" s="218"/>
    </row>
    <row r="15" spans="1:38" ht="13.5" customHeight="1" x14ac:dyDescent="0.25">
      <c r="A15" s="207"/>
      <c r="B15" s="208" t="s">
        <v>1543</v>
      </c>
      <c r="C15" s="209">
        <v>151.16000000000003</v>
      </c>
      <c r="D15" s="209">
        <v>0</v>
      </c>
      <c r="E15" s="209">
        <v>0</v>
      </c>
      <c r="F15" s="209">
        <v>0</v>
      </c>
      <c r="G15" s="209">
        <v>0</v>
      </c>
      <c r="H15" s="209">
        <v>0</v>
      </c>
      <c r="I15" s="209">
        <v>0</v>
      </c>
      <c r="J15" s="210">
        <f>SUM(C15:I15)</f>
        <v>151.16000000000003</v>
      </c>
      <c r="K15" s="211"/>
      <c r="L15" s="212"/>
      <c r="M15" s="208" t="s">
        <v>1543</v>
      </c>
      <c r="N15" s="209">
        <f>$C$25*(C15/($C$7+$C$11+$C$13+$C$15))</f>
        <v>21.375378203166232</v>
      </c>
      <c r="O15" s="209"/>
      <c r="P15" s="209"/>
      <c r="Q15" s="209">
        <f>$C$25*(F15/($C$7+$C$11+$C$13+$C$15))</f>
        <v>0</v>
      </c>
      <c r="R15" s="209"/>
      <c r="S15" s="209"/>
      <c r="T15" s="209"/>
      <c r="U15" s="210">
        <f>SUM(N15:T15)</f>
        <v>21.375378203166232</v>
      </c>
      <c r="W15" s="208" t="s">
        <v>1543</v>
      </c>
      <c r="X15" s="209">
        <f>C15+N15</f>
        <v>172.53537820316626</v>
      </c>
      <c r="Y15" s="209"/>
      <c r="Z15" s="209">
        <f t="shared" ref="Z15:AD15" si="4">E15+P15</f>
        <v>0</v>
      </c>
      <c r="AA15" s="209">
        <f t="shared" si="4"/>
        <v>0</v>
      </c>
      <c r="AB15" s="209">
        <f t="shared" si="4"/>
        <v>0</v>
      </c>
      <c r="AC15" s="209">
        <f t="shared" si="4"/>
        <v>0</v>
      </c>
      <c r="AD15" s="209">
        <f t="shared" si="4"/>
        <v>0</v>
      </c>
      <c r="AE15" s="210">
        <f>SUM(X15:AD15)</f>
        <v>172.53537820316626</v>
      </c>
    </row>
    <row r="16" spans="1:38" ht="7.5" customHeight="1" x14ac:dyDescent="0.25">
      <c r="A16" s="207"/>
      <c r="B16" s="216"/>
      <c r="C16" s="217"/>
      <c r="D16" s="217"/>
      <c r="E16" s="217"/>
      <c r="F16" s="217"/>
      <c r="G16" s="217"/>
      <c r="H16" s="217"/>
      <c r="I16" s="217"/>
      <c r="J16" s="218"/>
      <c r="K16" s="211"/>
      <c r="L16" s="219"/>
      <c r="M16" s="216"/>
      <c r="N16" s="217"/>
      <c r="O16" s="217"/>
      <c r="P16" s="217"/>
      <c r="Q16" s="217"/>
      <c r="R16" s="217"/>
      <c r="S16" s="217"/>
      <c r="T16" s="217"/>
      <c r="U16" s="218"/>
      <c r="W16" s="216"/>
      <c r="X16" s="217"/>
      <c r="Y16" s="217"/>
      <c r="Z16" s="217"/>
      <c r="AA16" s="217"/>
      <c r="AB16" s="217"/>
      <c r="AC16" s="217"/>
      <c r="AD16" s="217"/>
      <c r="AE16" s="218"/>
    </row>
    <row r="17" spans="1:31" ht="13.5" customHeight="1" x14ac:dyDescent="0.25">
      <c r="A17" s="207"/>
      <c r="B17" s="208" t="s">
        <v>1574</v>
      </c>
      <c r="C17" s="209">
        <v>0</v>
      </c>
      <c r="D17" s="209">
        <v>0</v>
      </c>
      <c r="E17" s="209">
        <v>0</v>
      </c>
      <c r="F17" s="209">
        <v>0</v>
      </c>
      <c r="G17" s="209">
        <v>0</v>
      </c>
      <c r="H17" s="209">
        <v>0</v>
      </c>
      <c r="I17" s="209">
        <v>0</v>
      </c>
      <c r="J17" s="210">
        <f>SUM(C17:I17)</f>
        <v>0</v>
      </c>
      <c r="K17" s="211"/>
      <c r="L17" s="212"/>
      <c r="M17" s="208" t="s">
        <v>1574</v>
      </c>
      <c r="N17" s="209"/>
      <c r="O17" s="209"/>
      <c r="P17" s="209"/>
      <c r="Q17" s="209"/>
      <c r="R17" s="209"/>
      <c r="S17" s="209"/>
      <c r="T17" s="209"/>
      <c r="U17" s="210">
        <f>SUM(N17:T17)</f>
        <v>0</v>
      </c>
      <c r="W17" s="208" t="s">
        <v>1574</v>
      </c>
      <c r="X17" s="209">
        <f>C17+N17</f>
        <v>0</v>
      </c>
      <c r="Y17" s="209"/>
      <c r="Z17" s="209">
        <f t="shared" ref="Z17:AD17" si="5">E17+P17</f>
        <v>0</v>
      </c>
      <c r="AA17" s="209">
        <f t="shared" si="5"/>
        <v>0</v>
      </c>
      <c r="AB17" s="209">
        <f t="shared" si="5"/>
        <v>0</v>
      </c>
      <c r="AC17" s="209">
        <f t="shared" si="5"/>
        <v>0</v>
      </c>
      <c r="AD17" s="209">
        <f t="shared" si="5"/>
        <v>0</v>
      </c>
      <c r="AE17" s="210">
        <f>SUM(X17:AD17)</f>
        <v>0</v>
      </c>
    </row>
    <row r="18" spans="1:31" ht="7.5" customHeight="1" x14ac:dyDescent="0.25">
      <c r="A18" s="207"/>
      <c r="B18" s="216"/>
      <c r="C18" s="217"/>
      <c r="D18" s="217"/>
      <c r="E18" s="217"/>
      <c r="F18" s="217"/>
      <c r="G18" s="217"/>
      <c r="H18" s="217"/>
      <c r="I18" s="217"/>
      <c r="J18" s="218"/>
      <c r="K18" s="211"/>
      <c r="L18" s="219"/>
      <c r="M18" s="216"/>
      <c r="N18" s="217"/>
      <c r="O18" s="217"/>
      <c r="P18" s="217"/>
      <c r="Q18" s="217"/>
      <c r="R18" s="217"/>
      <c r="S18" s="217"/>
      <c r="T18" s="217"/>
      <c r="U18" s="218"/>
      <c r="W18" s="216"/>
      <c r="X18" s="217"/>
      <c r="Y18" s="217"/>
      <c r="Z18" s="217"/>
      <c r="AA18" s="217"/>
      <c r="AB18" s="217"/>
      <c r="AC18" s="217"/>
      <c r="AD18" s="217"/>
      <c r="AE18" s="218"/>
    </row>
    <row r="19" spans="1:31" ht="13.5" customHeight="1" x14ac:dyDescent="0.25">
      <c r="A19" s="207"/>
      <c r="B19" s="208" t="s">
        <v>1575</v>
      </c>
      <c r="C19" s="209">
        <v>0</v>
      </c>
      <c r="D19" s="209">
        <v>0</v>
      </c>
      <c r="E19" s="209">
        <v>0</v>
      </c>
      <c r="F19" s="209">
        <v>0</v>
      </c>
      <c r="G19" s="209">
        <v>0</v>
      </c>
      <c r="H19" s="209">
        <v>505.03499999999997</v>
      </c>
      <c r="I19" s="209">
        <v>0</v>
      </c>
      <c r="J19" s="210">
        <f>SUM(C19:I19)</f>
        <v>505.03499999999997</v>
      </c>
      <c r="K19" s="211"/>
      <c r="L19" s="212"/>
      <c r="M19" s="208" t="s">
        <v>1575</v>
      </c>
      <c r="N19" s="209"/>
      <c r="O19" s="209"/>
      <c r="P19" s="209"/>
      <c r="Q19" s="209"/>
      <c r="R19" s="209"/>
      <c r="S19" s="209"/>
      <c r="T19" s="209"/>
      <c r="U19" s="210">
        <f>SUM(N19:T19)</f>
        <v>0</v>
      </c>
      <c r="W19" s="208" t="s">
        <v>1575</v>
      </c>
      <c r="X19" s="209">
        <f>C19+N19</f>
        <v>0</v>
      </c>
      <c r="Y19" s="209"/>
      <c r="Z19" s="209">
        <f t="shared" ref="Z19:AD19" si="6">E19+P19</f>
        <v>0</v>
      </c>
      <c r="AA19" s="209">
        <f t="shared" si="6"/>
        <v>0</v>
      </c>
      <c r="AB19" s="209">
        <f t="shared" si="6"/>
        <v>0</v>
      </c>
      <c r="AC19" s="209">
        <f t="shared" si="6"/>
        <v>505.03499999999997</v>
      </c>
      <c r="AD19" s="209">
        <f t="shared" si="6"/>
        <v>0</v>
      </c>
      <c r="AE19" s="210">
        <f>SUM(X19:AD19)</f>
        <v>505.03499999999997</v>
      </c>
    </row>
    <row r="20" spans="1:31" ht="7.5" customHeight="1" x14ac:dyDescent="0.25">
      <c r="A20" s="207"/>
      <c r="B20" s="216"/>
      <c r="C20" s="217"/>
      <c r="D20" s="217"/>
      <c r="E20" s="217"/>
      <c r="F20" s="217"/>
      <c r="G20" s="217"/>
      <c r="H20" s="217"/>
      <c r="I20" s="217"/>
      <c r="J20" s="218"/>
      <c r="K20" s="211"/>
      <c r="L20" s="219"/>
      <c r="M20" s="216"/>
      <c r="N20" s="217"/>
      <c r="O20" s="217"/>
      <c r="P20" s="217"/>
      <c r="Q20" s="217"/>
      <c r="R20" s="217"/>
      <c r="S20" s="217"/>
      <c r="T20" s="217"/>
      <c r="U20" s="218"/>
      <c r="W20" s="216"/>
      <c r="X20" s="217"/>
      <c r="Y20" s="217"/>
      <c r="Z20" s="217"/>
      <c r="AA20" s="217"/>
      <c r="AB20" s="217"/>
      <c r="AC20" s="217"/>
      <c r="AD20" s="217"/>
      <c r="AE20" s="218"/>
    </row>
    <row r="21" spans="1:31" ht="13.5" customHeight="1" x14ac:dyDescent="0.25">
      <c r="A21" s="207"/>
      <c r="B21" s="208" t="s">
        <v>1538</v>
      </c>
      <c r="C21" s="209">
        <v>18.87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10">
        <f>SUM(C21:I21)</f>
        <v>18.87</v>
      </c>
      <c r="K21" s="211"/>
      <c r="L21" s="212"/>
      <c r="M21" s="208" t="s">
        <v>1538</v>
      </c>
      <c r="N21" s="209"/>
      <c r="O21" s="209"/>
      <c r="P21" s="209"/>
      <c r="Q21" s="209"/>
      <c r="R21" s="209"/>
      <c r="S21" s="209"/>
      <c r="T21" s="209"/>
      <c r="U21" s="210">
        <f>SUM(N21:T21)</f>
        <v>0</v>
      </c>
      <c r="W21" s="208" t="s">
        <v>1538</v>
      </c>
      <c r="X21" s="209">
        <f>C21+N21</f>
        <v>18.87</v>
      </c>
      <c r="Y21" s="209"/>
      <c r="Z21" s="209">
        <f t="shared" ref="Z21:AD21" si="7">E21+P21</f>
        <v>0</v>
      </c>
      <c r="AA21" s="209">
        <f t="shared" si="7"/>
        <v>0</v>
      </c>
      <c r="AB21" s="209">
        <f t="shared" si="7"/>
        <v>0</v>
      </c>
      <c r="AC21" s="209">
        <f t="shared" si="7"/>
        <v>0</v>
      </c>
      <c r="AD21" s="209">
        <f t="shared" si="7"/>
        <v>0</v>
      </c>
      <c r="AE21" s="210">
        <f>SUM(X21:AD21)</f>
        <v>18.87</v>
      </c>
    </row>
    <row r="22" spans="1:31" ht="7.5" customHeight="1" x14ac:dyDescent="0.25">
      <c r="A22" s="207"/>
      <c r="B22" s="216"/>
      <c r="C22" s="217"/>
      <c r="D22" s="217"/>
      <c r="E22" s="217"/>
      <c r="F22" s="217"/>
      <c r="G22" s="217"/>
      <c r="H22" s="217"/>
      <c r="I22" s="217"/>
      <c r="J22" s="218"/>
      <c r="K22" s="211"/>
      <c r="L22" s="219"/>
      <c r="M22" s="216"/>
      <c r="N22" s="217"/>
      <c r="O22" s="217"/>
      <c r="P22" s="217"/>
      <c r="Q22" s="217"/>
      <c r="R22" s="217"/>
      <c r="S22" s="217"/>
      <c r="T22" s="217"/>
      <c r="U22" s="218"/>
      <c r="W22" s="216"/>
      <c r="X22" s="217"/>
      <c r="Y22" s="217"/>
      <c r="Z22" s="217"/>
      <c r="AA22" s="217"/>
      <c r="AB22" s="217"/>
      <c r="AC22" s="217"/>
      <c r="AD22" s="217"/>
      <c r="AE22" s="218"/>
    </row>
    <row r="23" spans="1:31" ht="13.5" customHeight="1" x14ac:dyDescent="0.25">
      <c r="A23" s="207"/>
      <c r="B23" s="208" t="s">
        <v>1576</v>
      </c>
      <c r="C23" s="209">
        <v>12.84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10">
        <f>SUM(C23:I23)</f>
        <v>12.84</v>
      </c>
      <c r="K23" s="211"/>
      <c r="L23" s="212"/>
      <c r="M23" s="208" t="s">
        <v>1576</v>
      </c>
      <c r="N23" s="209"/>
      <c r="O23" s="209"/>
      <c r="P23" s="209"/>
      <c r="Q23" s="209"/>
      <c r="R23" s="209"/>
      <c r="S23" s="209"/>
      <c r="T23" s="209"/>
      <c r="U23" s="210">
        <f>SUM(N23:T23)</f>
        <v>0</v>
      </c>
      <c r="W23" s="208" t="s">
        <v>1576</v>
      </c>
      <c r="X23" s="209">
        <f>C23+N23</f>
        <v>12.84</v>
      </c>
      <c r="Y23" s="209"/>
      <c r="Z23" s="209">
        <f t="shared" ref="Z23:AD23" si="8">E23+P23</f>
        <v>0</v>
      </c>
      <c r="AA23" s="209">
        <f t="shared" si="8"/>
        <v>0</v>
      </c>
      <c r="AB23" s="209">
        <f t="shared" si="8"/>
        <v>0</v>
      </c>
      <c r="AC23" s="209">
        <f t="shared" si="8"/>
        <v>0</v>
      </c>
      <c r="AD23" s="209">
        <f t="shared" si="8"/>
        <v>0</v>
      </c>
      <c r="AE23" s="210">
        <f>SUM(X23:AD23)</f>
        <v>12.84</v>
      </c>
    </row>
    <row r="24" spans="1:31" ht="7.5" customHeight="1" x14ac:dyDescent="0.25">
      <c r="A24" s="207"/>
      <c r="B24" s="216"/>
      <c r="C24" s="217"/>
      <c r="D24" s="217"/>
      <c r="E24" s="217"/>
      <c r="F24" s="217"/>
      <c r="G24" s="217"/>
      <c r="H24" s="217"/>
      <c r="I24" s="217"/>
      <c r="J24" s="218"/>
      <c r="K24" s="211"/>
      <c r="L24" s="219"/>
      <c r="M24" s="216"/>
      <c r="N24" s="217"/>
      <c r="O24" s="217"/>
      <c r="P24" s="217"/>
      <c r="Q24" s="217"/>
      <c r="R24" s="217"/>
      <c r="S24" s="217"/>
      <c r="T24" s="217"/>
      <c r="U24" s="218"/>
      <c r="W24" s="216"/>
      <c r="X24" s="217"/>
      <c r="Y24" s="217"/>
      <c r="Z24" s="217"/>
      <c r="AA24" s="217"/>
      <c r="AB24" s="217"/>
      <c r="AC24" s="217"/>
      <c r="AD24" s="217"/>
      <c r="AE24" s="218"/>
    </row>
    <row r="25" spans="1:31" ht="15" customHeight="1" x14ac:dyDescent="0.25">
      <c r="A25" s="221"/>
      <c r="B25" s="222" t="s">
        <v>1577</v>
      </c>
      <c r="C25" s="223">
        <v>249.49701748762499</v>
      </c>
      <c r="D25" s="223">
        <v>0</v>
      </c>
      <c r="E25" s="223">
        <v>0</v>
      </c>
      <c r="F25" s="223">
        <v>100.87298251237505</v>
      </c>
      <c r="G25" s="223">
        <v>0</v>
      </c>
      <c r="H25" s="223">
        <v>0</v>
      </c>
      <c r="I25" s="223">
        <v>0</v>
      </c>
      <c r="J25" s="224">
        <f>SUM(C25:I25)</f>
        <v>350.37</v>
      </c>
      <c r="K25" s="225" t="s">
        <v>1578</v>
      </c>
      <c r="L25" s="226"/>
      <c r="M25" s="222" t="s">
        <v>1577</v>
      </c>
      <c r="N25" s="223"/>
      <c r="O25" s="223"/>
      <c r="P25" s="223"/>
      <c r="Q25" s="223"/>
      <c r="R25" s="223"/>
      <c r="S25" s="223"/>
      <c r="T25" s="223"/>
      <c r="U25" s="224">
        <f>SUM(N25:T25)</f>
        <v>0</v>
      </c>
      <c r="W25" s="222" t="s">
        <v>1577</v>
      </c>
      <c r="X25" s="223"/>
      <c r="Y25" s="223"/>
      <c r="Z25" s="223"/>
      <c r="AA25" s="223"/>
      <c r="AB25" s="223"/>
      <c r="AC25" s="223"/>
      <c r="AD25" s="223"/>
      <c r="AE25" s="224">
        <f>SUM(X25:AD25)</f>
        <v>0</v>
      </c>
    </row>
    <row r="26" spans="1:31" ht="7.5" customHeight="1" x14ac:dyDescent="0.25">
      <c r="A26" s="221"/>
      <c r="B26" s="227"/>
      <c r="C26" s="217"/>
      <c r="D26" s="217"/>
      <c r="E26" s="217"/>
      <c r="F26" s="217"/>
      <c r="G26" s="217"/>
      <c r="H26" s="217"/>
      <c r="I26" s="228"/>
      <c r="J26" s="218"/>
      <c r="K26" s="229"/>
      <c r="L26" s="226"/>
      <c r="M26" s="227"/>
      <c r="N26" s="217"/>
      <c r="O26" s="217"/>
      <c r="P26" s="217"/>
      <c r="Q26" s="217"/>
      <c r="R26" s="217"/>
      <c r="S26" s="217"/>
      <c r="T26" s="228"/>
      <c r="U26" s="218"/>
      <c r="W26" s="227"/>
      <c r="X26" s="217"/>
      <c r="Y26" s="217"/>
      <c r="Z26" s="217"/>
      <c r="AA26" s="217"/>
      <c r="AB26" s="217"/>
      <c r="AC26" s="217"/>
      <c r="AD26" s="217"/>
      <c r="AE26" s="218"/>
    </row>
    <row r="27" spans="1:31" ht="13.5" customHeight="1" x14ac:dyDescent="0.25">
      <c r="A27" s="221"/>
      <c r="B27" s="222" t="s">
        <v>1579</v>
      </c>
      <c r="C27" s="223">
        <v>87.203364387194071</v>
      </c>
      <c r="D27" s="223">
        <v>0</v>
      </c>
      <c r="E27" s="223">
        <v>0</v>
      </c>
      <c r="F27" s="223">
        <v>34.459884682851097</v>
      </c>
      <c r="G27" s="223">
        <v>0</v>
      </c>
      <c r="H27" s="223">
        <v>65.351839818413922</v>
      </c>
      <c r="I27" s="223">
        <v>0.72670462571377414</v>
      </c>
      <c r="J27" s="224">
        <f>SUM(C27:I27)</f>
        <v>187.74179351417288</v>
      </c>
      <c r="K27" s="225" t="s">
        <v>1580</v>
      </c>
      <c r="L27" s="226"/>
      <c r="M27" s="222" t="s">
        <v>1579</v>
      </c>
      <c r="N27" s="223"/>
      <c r="O27" s="223"/>
      <c r="P27" s="223"/>
      <c r="Q27" s="223"/>
      <c r="R27" s="223"/>
      <c r="S27" s="223"/>
      <c r="T27" s="223"/>
      <c r="U27" s="224">
        <f>SUM(N27:T27)</f>
        <v>0</v>
      </c>
      <c r="W27" s="222" t="s">
        <v>1579</v>
      </c>
      <c r="X27" s="223"/>
      <c r="Y27" s="223"/>
      <c r="Z27" s="223"/>
      <c r="AA27" s="223"/>
      <c r="AB27" s="223"/>
      <c r="AC27" s="223"/>
      <c r="AD27" s="223"/>
      <c r="AE27" s="224">
        <f>SUM(X27:AD27)</f>
        <v>0</v>
      </c>
    </row>
    <row r="28" spans="1:31" ht="7.5" customHeight="1" x14ac:dyDescent="0.25">
      <c r="A28" s="221"/>
      <c r="B28" s="230"/>
      <c r="C28" s="217"/>
      <c r="D28" s="217"/>
      <c r="E28" s="217"/>
      <c r="F28" s="217"/>
      <c r="G28" s="217"/>
      <c r="H28" s="217"/>
      <c r="I28" s="217"/>
      <c r="J28" s="218"/>
      <c r="K28" s="229"/>
      <c r="L28" s="226"/>
      <c r="M28" s="230"/>
      <c r="N28" s="217"/>
      <c r="O28" s="217"/>
      <c r="P28" s="217"/>
      <c r="Q28" s="217"/>
      <c r="R28" s="217"/>
      <c r="S28" s="217"/>
      <c r="T28" s="217"/>
      <c r="U28" s="218"/>
      <c r="W28" s="230"/>
      <c r="X28" s="217"/>
      <c r="Y28" s="217"/>
      <c r="Z28" s="217"/>
      <c r="AA28" s="217"/>
      <c r="AB28" s="217"/>
      <c r="AC28" s="217"/>
      <c r="AD28" s="217"/>
      <c r="AE28" s="218"/>
    </row>
    <row r="29" spans="1:31" x14ac:dyDescent="0.25">
      <c r="A29" s="207"/>
      <c r="B29" s="208" t="s">
        <v>1581</v>
      </c>
      <c r="C29" s="209">
        <v>0</v>
      </c>
      <c r="D29" s="209">
        <v>0</v>
      </c>
      <c r="E29" s="209">
        <v>0</v>
      </c>
      <c r="F29" s="209">
        <v>0</v>
      </c>
      <c r="G29" s="209">
        <v>0</v>
      </c>
      <c r="H29" s="209">
        <v>0</v>
      </c>
      <c r="I29" s="209">
        <v>0</v>
      </c>
      <c r="J29" s="210">
        <f>SUM(C29:I29)</f>
        <v>0</v>
      </c>
      <c r="K29" s="211"/>
      <c r="L29" s="212"/>
      <c r="M29" s="208" t="s">
        <v>1581</v>
      </c>
      <c r="N29" s="209"/>
      <c r="O29" s="209"/>
      <c r="P29" s="209"/>
      <c r="Q29" s="209"/>
      <c r="R29" s="209"/>
      <c r="S29" s="209"/>
      <c r="T29" s="209"/>
      <c r="U29" s="210">
        <f>SUM(N29:T29)</f>
        <v>0</v>
      </c>
      <c r="W29" s="208" t="s">
        <v>1581</v>
      </c>
      <c r="X29" s="209"/>
      <c r="Y29" s="209"/>
      <c r="Z29" s="209"/>
      <c r="AA29" s="209"/>
      <c r="AB29" s="209"/>
      <c r="AC29" s="209"/>
      <c r="AD29" s="209"/>
      <c r="AE29" s="210">
        <f>SUM(X29:AD29)</f>
        <v>0</v>
      </c>
    </row>
    <row r="30" spans="1:31" ht="7.5" customHeight="1" x14ac:dyDescent="0.25">
      <c r="A30" s="207"/>
      <c r="B30" s="216"/>
      <c r="C30" s="217"/>
      <c r="D30" s="217"/>
      <c r="E30" s="217"/>
      <c r="F30" s="217"/>
      <c r="G30" s="217"/>
      <c r="H30" s="217"/>
      <c r="I30" s="217"/>
      <c r="J30" s="218"/>
      <c r="K30" s="211"/>
      <c r="L30" s="219"/>
      <c r="M30" s="216"/>
      <c r="N30" s="217"/>
      <c r="O30" s="217"/>
      <c r="P30" s="217"/>
      <c r="Q30" s="217"/>
      <c r="R30" s="217"/>
      <c r="S30" s="217"/>
      <c r="T30" s="217"/>
      <c r="U30" s="218"/>
      <c r="W30" s="216"/>
      <c r="X30" s="217"/>
      <c r="Y30" s="217"/>
      <c r="Z30" s="217"/>
      <c r="AA30" s="217"/>
      <c r="AB30" s="217"/>
      <c r="AC30" s="217"/>
      <c r="AD30" s="217"/>
      <c r="AE30" s="218"/>
    </row>
    <row r="31" spans="1:31" ht="13.5" customHeight="1" x14ac:dyDescent="0.25">
      <c r="A31" s="221"/>
      <c r="B31" s="231" t="s">
        <v>1582</v>
      </c>
      <c r="C31" s="232">
        <v>138.45585771072734</v>
      </c>
      <c r="D31" s="232">
        <v>0</v>
      </c>
      <c r="E31" s="232">
        <v>0</v>
      </c>
      <c r="F31" s="232">
        <v>99.464142289272615</v>
      </c>
      <c r="G31" s="232">
        <v>0</v>
      </c>
      <c r="H31" s="232">
        <v>0</v>
      </c>
      <c r="I31" s="232">
        <v>0</v>
      </c>
      <c r="J31" s="233">
        <f>SUM(C31:I31)</f>
        <v>237.91999999999996</v>
      </c>
      <c r="K31" s="225" t="s">
        <v>1583</v>
      </c>
      <c r="L31" s="226"/>
      <c r="M31" s="231" t="s">
        <v>1582</v>
      </c>
      <c r="N31" s="232">
        <f>$C$37*(C31/($C$31+$C$33))</f>
        <v>120.03436248482456</v>
      </c>
      <c r="O31" s="232"/>
      <c r="P31" s="232"/>
      <c r="Q31" s="232">
        <f>$F$37*(F31/($F$31+$F$33))</f>
        <v>90.831848272250426</v>
      </c>
      <c r="R31" s="232"/>
      <c r="S31" s="232">
        <f>$H$37*(H31/($H$31+$H$33))</f>
        <v>0</v>
      </c>
      <c r="T31" s="232"/>
      <c r="U31" s="233">
        <f>SUM(N31:T31)</f>
        <v>210.86621075707498</v>
      </c>
      <c r="W31" s="231" t="s">
        <v>1582</v>
      </c>
      <c r="X31" s="232">
        <f>C31+N31</f>
        <v>258.4902201955519</v>
      </c>
      <c r="Y31" s="232"/>
      <c r="Z31" s="232">
        <f t="shared" ref="Z31:AD31" si="9">E31+P31</f>
        <v>0</v>
      </c>
      <c r="AA31" s="232">
        <f t="shared" si="9"/>
        <v>190.29599056152304</v>
      </c>
      <c r="AB31" s="232">
        <f t="shared" si="9"/>
        <v>0</v>
      </c>
      <c r="AC31" s="232">
        <f t="shared" si="9"/>
        <v>0</v>
      </c>
      <c r="AD31" s="232">
        <f t="shared" si="9"/>
        <v>0</v>
      </c>
      <c r="AE31" s="233">
        <f>SUM(X31:AD31)</f>
        <v>448.78621075707497</v>
      </c>
    </row>
    <row r="32" spans="1:31" ht="7.5" customHeight="1" x14ac:dyDescent="0.25">
      <c r="A32" s="221"/>
      <c r="B32" s="230"/>
      <c r="C32" s="217"/>
      <c r="D32" s="217"/>
      <c r="E32" s="217"/>
      <c r="F32" s="217"/>
      <c r="G32" s="217"/>
      <c r="H32" s="217"/>
      <c r="I32" s="217"/>
      <c r="J32" s="218"/>
      <c r="K32" s="229"/>
      <c r="L32" s="226"/>
      <c r="M32" s="230"/>
      <c r="N32" s="217"/>
      <c r="O32" s="217"/>
      <c r="P32" s="217"/>
      <c r="Q32" s="217"/>
      <c r="R32" s="217"/>
      <c r="S32" s="217"/>
      <c r="T32" s="217"/>
      <c r="U32" s="218"/>
      <c r="W32" s="230"/>
      <c r="X32" s="217"/>
      <c r="Y32" s="217"/>
      <c r="Z32" s="217"/>
      <c r="AA32" s="217"/>
      <c r="AB32" s="217"/>
      <c r="AC32" s="217"/>
      <c r="AD32" s="217"/>
      <c r="AE32" s="218"/>
    </row>
    <row r="33" spans="1:35" ht="13.5" customHeight="1" x14ac:dyDescent="0.25">
      <c r="A33" s="221"/>
      <c r="B33" s="231" t="s">
        <v>1584</v>
      </c>
      <c r="C33" s="232">
        <v>78.74740300393421</v>
      </c>
      <c r="D33" s="232">
        <v>0</v>
      </c>
      <c r="E33" s="232">
        <v>0</v>
      </c>
      <c r="F33" s="232">
        <v>40.035622971595949</v>
      </c>
      <c r="G33" s="232">
        <v>0</v>
      </c>
      <c r="H33" s="232">
        <v>33.16297402446984</v>
      </c>
      <c r="I33" s="232">
        <v>0</v>
      </c>
      <c r="J33" s="233">
        <f>SUM(C33:I33)</f>
        <v>151.946</v>
      </c>
      <c r="K33" s="225" t="s">
        <v>1585</v>
      </c>
      <c r="L33" s="226"/>
      <c r="M33" s="231" t="s">
        <v>1584</v>
      </c>
      <c r="N33" s="232">
        <f>$C$37*(C33/($C$31+$C$33))</f>
        <v>68.270093249947379</v>
      </c>
      <c r="O33" s="232"/>
      <c r="P33" s="232"/>
      <c r="Q33" s="232">
        <f>$F$37*(F33/($F$31+$F$33))</f>
        <v>36.561011310638236</v>
      </c>
      <c r="R33" s="232"/>
      <c r="S33" s="232">
        <f>$H$37*(H33/($H$31+$H$33))</f>
        <v>16.302684682339361</v>
      </c>
      <c r="T33" s="232"/>
      <c r="U33" s="233">
        <f>SUM(N33:T33)</f>
        <v>121.13378924292498</v>
      </c>
      <c r="W33" s="231" t="s">
        <v>1584</v>
      </c>
      <c r="X33" s="232">
        <f>C33+N33</f>
        <v>147.01749625388157</v>
      </c>
      <c r="Y33" s="232"/>
      <c r="Z33" s="232">
        <f t="shared" ref="Z33:AD33" si="10">E33+P33</f>
        <v>0</v>
      </c>
      <c r="AA33" s="232">
        <f t="shared" si="10"/>
        <v>76.596634282234191</v>
      </c>
      <c r="AB33" s="232">
        <f t="shared" si="10"/>
        <v>0</v>
      </c>
      <c r="AC33" s="232">
        <f t="shared" si="10"/>
        <v>49.465658706809201</v>
      </c>
      <c r="AD33" s="232">
        <f t="shared" si="10"/>
        <v>0</v>
      </c>
      <c r="AE33" s="233">
        <f>SUM(X33:AD33)</f>
        <v>273.07978924292496</v>
      </c>
    </row>
    <row r="34" spans="1:35" ht="7.5" customHeight="1" x14ac:dyDescent="0.25">
      <c r="A34" s="221"/>
      <c r="B34" s="230"/>
      <c r="C34" s="217"/>
      <c r="D34" s="217"/>
      <c r="E34" s="217"/>
      <c r="F34" s="217"/>
      <c r="G34" s="217"/>
      <c r="H34" s="217"/>
      <c r="I34" s="228"/>
      <c r="J34" s="218"/>
      <c r="L34" s="226"/>
      <c r="M34" s="230"/>
      <c r="N34" s="217"/>
      <c r="O34" s="217"/>
      <c r="P34" s="217"/>
      <c r="Q34" s="217"/>
      <c r="R34" s="217"/>
      <c r="S34" s="217"/>
      <c r="T34" s="228"/>
      <c r="U34" s="218"/>
      <c r="W34" s="230"/>
      <c r="X34" s="217"/>
      <c r="Y34" s="217"/>
      <c r="Z34" s="217"/>
      <c r="AA34" s="217"/>
      <c r="AB34" s="217"/>
      <c r="AC34" s="217"/>
      <c r="AD34" s="217"/>
      <c r="AE34" s="218"/>
    </row>
    <row r="35" spans="1:35" ht="13.5" customHeight="1" x14ac:dyDescent="0.25">
      <c r="A35" s="221"/>
      <c r="B35" s="208" t="s">
        <v>1586</v>
      </c>
      <c r="C35" s="209">
        <v>0</v>
      </c>
      <c r="D35" s="209">
        <v>0</v>
      </c>
      <c r="E35" s="209">
        <v>0</v>
      </c>
      <c r="F35" s="209">
        <v>0</v>
      </c>
      <c r="G35" s="209">
        <v>0</v>
      </c>
      <c r="H35" s="209">
        <v>10.715</v>
      </c>
      <c r="I35" s="209">
        <v>0</v>
      </c>
      <c r="J35" s="210">
        <f>SUM(C35:I35)</f>
        <v>10.715</v>
      </c>
      <c r="K35" s="225"/>
      <c r="L35" s="226"/>
      <c r="M35" s="208" t="s">
        <v>1586</v>
      </c>
      <c r="N35" s="209"/>
      <c r="O35" s="209"/>
      <c r="P35" s="209"/>
      <c r="Q35" s="209">
        <v>0</v>
      </c>
      <c r="R35" s="209"/>
      <c r="S35" s="209">
        <v>0</v>
      </c>
      <c r="T35" s="209"/>
      <c r="U35" s="210">
        <f>SUM(N35:T35)</f>
        <v>0</v>
      </c>
      <c r="W35" s="208" t="s">
        <v>1586</v>
      </c>
      <c r="X35" s="209"/>
      <c r="Y35" s="209"/>
      <c r="Z35" s="209"/>
      <c r="AA35" s="209"/>
      <c r="AB35" s="209"/>
      <c r="AC35" s="209">
        <f>H35</f>
        <v>10.715</v>
      </c>
      <c r="AD35" s="209"/>
      <c r="AE35" s="210">
        <f>SUM(X35:AD35)</f>
        <v>10.715</v>
      </c>
    </row>
    <row r="36" spans="1:35" ht="7.5" customHeight="1" x14ac:dyDescent="0.25">
      <c r="A36" s="234"/>
      <c r="B36" s="230"/>
      <c r="C36" s="217"/>
      <c r="D36" s="217"/>
      <c r="E36" s="217"/>
      <c r="F36" s="217"/>
      <c r="G36" s="217"/>
      <c r="H36" s="217"/>
      <c r="I36" s="217"/>
      <c r="J36" s="218"/>
      <c r="K36" s="229"/>
      <c r="L36" s="226"/>
      <c r="M36" s="230"/>
      <c r="N36" s="217"/>
      <c r="O36" s="217"/>
      <c r="P36" s="217"/>
      <c r="Q36" s="217"/>
      <c r="R36" s="217"/>
      <c r="S36" s="217"/>
      <c r="T36" s="217"/>
      <c r="U36" s="218"/>
      <c r="W36" s="230"/>
      <c r="X36" s="217"/>
      <c r="Y36" s="217"/>
      <c r="Z36" s="217"/>
      <c r="AA36" s="217"/>
      <c r="AB36" s="217"/>
      <c r="AC36" s="217"/>
      <c r="AD36" s="217"/>
      <c r="AE36" s="218"/>
    </row>
    <row r="37" spans="1:35" ht="13.5" customHeight="1" x14ac:dyDescent="0.25">
      <c r="A37" s="207"/>
      <c r="B37" s="231" t="s">
        <v>1587</v>
      </c>
      <c r="C37" s="232">
        <v>188.30445573477192</v>
      </c>
      <c r="D37" s="232">
        <v>0</v>
      </c>
      <c r="E37" s="232">
        <v>0</v>
      </c>
      <c r="F37" s="232">
        <v>127.39285958288866</v>
      </c>
      <c r="G37" s="232">
        <v>0</v>
      </c>
      <c r="H37" s="232">
        <v>16.302684682339361</v>
      </c>
      <c r="I37" s="232">
        <v>0</v>
      </c>
      <c r="J37" s="233">
        <f>SUM(C37:I37)</f>
        <v>331.99999999999994</v>
      </c>
      <c r="K37" s="225" t="s">
        <v>1588</v>
      </c>
      <c r="L37" s="212"/>
      <c r="M37" s="231" t="s">
        <v>1587</v>
      </c>
      <c r="N37" s="232"/>
      <c r="O37" s="232"/>
      <c r="P37" s="232"/>
      <c r="Q37" s="232"/>
      <c r="R37" s="232"/>
      <c r="S37" s="232">
        <v>0</v>
      </c>
      <c r="T37" s="232"/>
      <c r="U37" s="233">
        <f>SUM(N37:T37)</f>
        <v>0</v>
      </c>
      <c r="W37" s="231" t="s">
        <v>1587</v>
      </c>
      <c r="X37" s="232"/>
      <c r="Y37" s="232"/>
      <c r="Z37" s="232"/>
      <c r="AA37" s="232"/>
      <c r="AB37" s="232"/>
      <c r="AC37" s="232"/>
      <c r="AD37" s="232"/>
      <c r="AE37" s="233">
        <f>SUM(X37:AD37)</f>
        <v>0</v>
      </c>
    </row>
    <row r="38" spans="1:35" ht="7.5" customHeight="1" x14ac:dyDescent="0.25">
      <c r="A38" s="207"/>
      <c r="B38" s="216"/>
      <c r="C38" s="217"/>
      <c r="D38" s="217"/>
      <c r="E38" s="217"/>
      <c r="F38" s="217"/>
      <c r="G38" s="217"/>
      <c r="H38" s="217"/>
      <c r="I38" s="217"/>
      <c r="J38" s="218"/>
      <c r="K38" s="211"/>
      <c r="L38" s="219"/>
      <c r="M38" s="216"/>
      <c r="N38" s="217"/>
      <c r="O38" s="217"/>
      <c r="P38" s="217"/>
      <c r="Q38" s="217"/>
      <c r="R38" s="217"/>
      <c r="S38" s="217"/>
      <c r="T38" s="217"/>
      <c r="U38" s="218"/>
      <c r="W38" s="216"/>
      <c r="X38" s="217"/>
      <c r="Y38" s="217"/>
      <c r="Z38" s="217"/>
      <c r="AA38" s="217"/>
      <c r="AB38" s="217"/>
      <c r="AC38" s="217"/>
      <c r="AD38" s="217"/>
      <c r="AE38" s="218"/>
    </row>
    <row r="39" spans="1:35" x14ac:dyDescent="0.25">
      <c r="A39" s="207"/>
      <c r="B39" s="208" t="s">
        <v>1567</v>
      </c>
      <c r="C39" s="209">
        <v>0</v>
      </c>
      <c r="D39" s="209">
        <v>0</v>
      </c>
      <c r="E39" s="209">
        <v>0</v>
      </c>
      <c r="F39" s="209">
        <v>0</v>
      </c>
      <c r="G39" s="209">
        <v>0</v>
      </c>
      <c r="H39" s="209">
        <v>0</v>
      </c>
      <c r="I39" s="209">
        <v>20</v>
      </c>
      <c r="J39" s="210">
        <f>SUM(C39:I39)</f>
        <v>20</v>
      </c>
      <c r="K39" s="211"/>
      <c r="L39" s="212"/>
      <c r="M39" s="208" t="s">
        <v>1567</v>
      </c>
      <c r="N39" s="209">
        <v>0</v>
      </c>
      <c r="O39" s="209"/>
      <c r="P39" s="209"/>
      <c r="Q39" s="209">
        <v>0</v>
      </c>
      <c r="R39" s="209"/>
      <c r="S39" s="209">
        <v>0</v>
      </c>
      <c r="T39" s="209"/>
      <c r="U39" s="210">
        <f>SUM(N39:T39)</f>
        <v>0</v>
      </c>
      <c r="W39" s="208" t="s">
        <v>1567</v>
      </c>
      <c r="X39" s="209">
        <v>0</v>
      </c>
      <c r="Y39" s="209"/>
      <c r="Z39" s="209">
        <v>0</v>
      </c>
      <c r="AA39" s="209">
        <v>0</v>
      </c>
      <c r="AB39" s="209">
        <v>0</v>
      </c>
      <c r="AC39" s="209">
        <v>0</v>
      </c>
      <c r="AD39" s="209">
        <v>0</v>
      </c>
      <c r="AE39" s="210">
        <f>SUM(X39:AD39)</f>
        <v>0</v>
      </c>
    </row>
    <row r="40" spans="1:35" ht="7.5" customHeight="1" thickBot="1" x14ac:dyDescent="0.3">
      <c r="A40" s="207"/>
      <c r="B40" s="216"/>
      <c r="C40" s="235"/>
      <c r="D40" s="235"/>
      <c r="E40" s="235"/>
      <c r="F40" s="235"/>
      <c r="G40" s="235"/>
      <c r="H40" s="235"/>
      <c r="I40" s="235"/>
      <c r="J40" s="236"/>
      <c r="K40" s="211"/>
      <c r="L40" s="219"/>
      <c r="M40" s="216"/>
      <c r="N40" s="235"/>
      <c r="O40" s="235"/>
      <c r="P40" s="235"/>
      <c r="Q40" s="235"/>
      <c r="R40" s="235"/>
      <c r="S40" s="235"/>
      <c r="T40" s="235"/>
      <c r="U40" s="236"/>
      <c r="W40" s="216"/>
      <c r="X40" s="235"/>
      <c r="Y40" s="235"/>
      <c r="Z40" s="235"/>
      <c r="AA40" s="235"/>
      <c r="AB40" s="235"/>
      <c r="AC40" s="235"/>
      <c r="AD40" s="235"/>
      <c r="AE40" s="236"/>
    </row>
    <row r="41" spans="1:35" ht="16.5" thickBot="1" x14ac:dyDescent="0.3">
      <c r="A41" s="234"/>
      <c r="B41" s="237" t="s">
        <v>541</v>
      </c>
      <c r="C41" s="238">
        <f>SUM(C7:C39)</f>
        <v>2856.453098324253</v>
      </c>
      <c r="D41" s="238">
        <f t="shared" ref="D41:J41" si="11">SUM(D7:D39)</f>
        <v>0</v>
      </c>
      <c r="E41" s="238">
        <f t="shared" si="11"/>
        <v>121.705</v>
      </c>
      <c r="F41" s="238">
        <f t="shared" si="11"/>
        <v>1218.8204920389833</v>
      </c>
      <c r="G41" s="238">
        <f t="shared" si="11"/>
        <v>0</v>
      </c>
      <c r="H41" s="238">
        <f t="shared" si="11"/>
        <v>1869.5224985252228</v>
      </c>
      <c r="I41" s="238">
        <f t="shared" si="11"/>
        <v>20.726704625713776</v>
      </c>
      <c r="J41" s="238">
        <f t="shared" si="11"/>
        <v>6087.2277935141728</v>
      </c>
      <c r="K41" s="229"/>
      <c r="L41" s="226"/>
      <c r="M41" s="237" t="s">
        <v>541</v>
      </c>
      <c r="N41" s="238">
        <f>SUM(N7:N39)</f>
        <v>437.80147322239691</v>
      </c>
      <c r="O41" s="238">
        <f t="shared" ref="O41:U41" si="12">SUM(O7:O39)</f>
        <v>0</v>
      </c>
      <c r="P41" s="238">
        <f t="shared" si="12"/>
        <v>0</v>
      </c>
      <c r="Q41" s="238">
        <f t="shared" si="12"/>
        <v>228.26584209526371</v>
      </c>
      <c r="R41" s="238">
        <f t="shared" si="12"/>
        <v>0</v>
      </c>
      <c r="S41" s="238">
        <f t="shared" si="12"/>
        <v>16.302684682339361</v>
      </c>
      <c r="T41" s="238">
        <f t="shared" si="12"/>
        <v>0</v>
      </c>
      <c r="U41" s="238">
        <f t="shared" si="12"/>
        <v>682.37</v>
      </c>
      <c r="W41" s="237" t="s">
        <v>541</v>
      </c>
      <c r="X41" s="238">
        <f>SUM(X7:X39)</f>
        <v>2769.2497339370584</v>
      </c>
      <c r="Y41" s="238">
        <f t="shared" ref="Y41:AE41" si="13">SUM(Y7:Y39)</f>
        <v>0</v>
      </c>
      <c r="Z41" s="238">
        <f t="shared" si="13"/>
        <v>121.705</v>
      </c>
      <c r="AA41" s="238">
        <f t="shared" si="13"/>
        <v>1184.3606073561323</v>
      </c>
      <c r="AB41" s="238">
        <f t="shared" si="13"/>
        <v>0</v>
      </c>
      <c r="AC41" s="238">
        <f t="shared" si="13"/>
        <v>1804.1706587068088</v>
      </c>
      <c r="AD41" s="238">
        <f t="shared" si="13"/>
        <v>0</v>
      </c>
      <c r="AE41" s="238">
        <f t="shared" si="13"/>
        <v>5879.4859999999999</v>
      </c>
      <c r="AH41" s="302">
        <f>(X41/(AA41+X41))</f>
        <v>0.70043567647874516</v>
      </c>
      <c r="AI41" s="303" t="s">
        <v>1594</v>
      </c>
    </row>
    <row r="42" spans="1:35" ht="24.75" customHeight="1" x14ac:dyDescent="0.25">
      <c r="A42" s="234"/>
      <c r="B42" s="240"/>
      <c r="C42" s="241">
        <f>C41/$J$41</f>
        <v>0.469253524792969</v>
      </c>
      <c r="D42" s="241">
        <f t="shared" ref="D42:J42" si="14">D41/$J$41</f>
        <v>0</v>
      </c>
      <c r="E42" s="241">
        <f t="shared" si="14"/>
        <v>1.9993501825194451E-2</v>
      </c>
      <c r="F42" s="241">
        <f t="shared" si="14"/>
        <v>0.20022587183900259</v>
      </c>
      <c r="G42" s="241">
        <f t="shared" si="14"/>
        <v>0</v>
      </c>
      <c r="H42" s="241">
        <f t="shared" si="14"/>
        <v>0.30712215181386243</v>
      </c>
      <c r="I42" s="241">
        <f t="shared" si="14"/>
        <v>3.4049497289714852E-3</v>
      </c>
      <c r="J42" s="241">
        <f t="shared" si="14"/>
        <v>1</v>
      </c>
      <c r="K42" s="229"/>
      <c r="L42" s="226"/>
      <c r="M42" s="240"/>
      <c r="N42" s="242">
        <f>N41-C25-C37</f>
        <v>0</v>
      </c>
      <c r="O42" s="241"/>
      <c r="P42" s="241"/>
      <c r="Q42" s="242">
        <f>Q41-F25-F37</f>
        <v>0</v>
      </c>
      <c r="R42" s="241"/>
      <c r="S42" s="242">
        <f>S41-H25-H37</f>
        <v>0</v>
      </c>
      <c r="T42" s="241"/>
      <c r="U42" s="242">
        <f>U41-J25-J37</f>
        <v>0</v>
      </c>
      <c r="X42" s="243">
        <f>C41-C27-X41</f>
        <v>0</v>
      </c>
      <c r="Z42" s="243">
        <f>E41-E27-Z41</f>
        <v>0</v>
      </c>
      <c r="AA42" s="243">
        <f>F41-F27-AA41</f>
        <v>0</v>
      </c>
      <c r="AB42" s="243"/>
      <c r="AC42" s="243">
        <f>H41-H27-AC41</f>
        <v>0</v>
      </c>
      <c r="AE42" s="243">
        <f>J41-J27-AE41</f>
        <v>20</v>
      </c>
    </row>
    <row r="43" spans="1:35" ht="12.75" customHeight="1" thickBot="1" x14ac:dyDescent="0.3">
      <c r="A43" s="234"/>
      <c r="B43" s="244"/>
      <c r="C43" s="245"/>
      <c r="D43" s="245"/>
      <c r="E43" s="245"/>
      <c r="F43" s="245"/>
      <c r="H43" s="234"/>
      <c r="I43" s="245"/>
      <c r="J43" s="245"/>
      <c r="K43" s="246"/>
      <c r="L43" s="245"/>
      <c r="M43" s="247" t="s">
        <v>1589</v>
      </c>
      <c r="N43" s="248" t="s">
        <v>1590</v>
      </c>
      <c r="X43" s="220">
        <f>X41/$AE$41</f>
        <v>0.47100201172977679</v>
      </c>
      <c r="Z43" s="220">
        <f>Z41/$AE$41</f>
        <v>2.0699938736141222E-2</v>
      </c>
      <c r="AA43" s="220">
        <f>AA41/$AE$41</f>
        <v>0.20143948082470683</v>
      </c>
      <c r="AC43" s="220">
        <f>AC41/$AE$41</f>
        <v>0.30685856870937506</v>
      </c>
    </row>
    <row r="44" spans="1:35" s="252" customFormat="1" ht="18" customHeight="1" thickBot="1" x14ac:dyDescent="0.25">
      <c r="A44" s="249"/>
      <c r="B44" s="370" t="s">
        <v>1591</v>
      </c>
      <c r="C44" s="371"/>
      <c r="D44" s="371"/>
      <c r="E44" s="371"/>
      <c r="F44" s="371"/>
      <c r="G44" s="371"/>
      <c r="H44" s="371"/>
      <c r="I44" s="371"/>
      <c r="J44" s="372"/>
      <c r="K44" s="250"/>
      <c r="L44" s="251"/>
      <c r="M44" s="373" t="s">
        <v>1592</v>
      </c>
      <c r="N44" s="374"/>
      <c r="O44" s="374"/>
      <c r="P44" s="374"/>
      <c r="Q44" s="374"/>
      <c r="R44" s="374"/>
      <c r="S44" s="374"/>
      <c r="T44" s="374"/>
      <c r="U44" s="375"/>
      <c r="W44" s="376" t="s">
        <v>1593</v>
      </c>
      <c r="X44" s="377"/>
      <c r="Y44" s="377"/>
      <c r="Z44" s="377"/>
      <c r="AA44" s="377"/>
      <c r="AB44" s="377"/>
      <c r="AC44" s="377"/>
      <c r="AD44" s="377"/>
      <c r="AE44" s="378"/>
    </row>
    <row r="45" spans="1:35" ht="48" thickBot="1" x14ac:dyDescent="0.3">
      <c r="A45" s="203"/>
      <c r="B45" s="200" t="s">
        <v>1560</v>
      </c>
      <c r="C45" s="201" t="s">
        <v>1561</v>
      </c>
      <c r="D45" s="201" t="s">
        <v>1562</v>
      </c>
      <c r="E45" s="201" t="s">
        <v>1563</v>
      </c>
      <c r="F45" s="201" t="s">
        <v>1564</v>
      </c>
      <c r="G45" s="201" t="s">
        <v>1565</v>
      </c>
      <c r="H45" s="201" t="s">
        <v>1566</v>
      </c>
      <c r="I45" s="201" t="s">
        <v>1567</v>
      </c>
      <c r="J45" s="202" t="s">
        <v>541</v>
      </c>
      <c r="K45" s="253"/>
      <c r="L45" s="254"/>
      <c r="M45" s="200" t="s">
        <v>1560</v>
      </c>
      <c r="N45" s="201" t="s">
        <v>1561</v>
      </c>
      <c r="O45" s="201" t="s">
        <v>1562</v>
      </c>
      <c r="P45" s="255" t="s">
        <v>1563</v>
      </c>
      <c r="Q45" s="201" t="s">
        <v>1564</v>
      </c>
      <c r="R45" s="201" t="s">
        <v>1565</v>
      </c>
      <c r="S45" s="201" t="s">
        <v>1566</v>
      </c>
      <c r="T45" s="255" t="s">
        <v>1567</v>
      </c>
      <c r="U45" s="202" t="s">
        <v>541</v>
      </c>
      <c r="W45" s="200" t="s">
        <v>1560</v>
      </c>
      <c r="X45" s="201" t="s">
        <v>1561</v>
      </c>
      <c r="Y45" s="201" t="s">
        <v>1562</v>
      </c>
      <c r="Z45" s="201" t="s">
        <v>1563</v>
      </c>
      <c r="AA45" s="201" t="s">
        <v>1564</v>
      </c>
      <c r="AB45" s="201" t="s">
        <v>1565</v>
      </c>
      <c r="AC45" s="201" t="s">
        <v>1566</v>
      </c>
      <c r="AD45" s="201" t="s">
        <v>1567</v>
      </c>
      <c r="AE45" s="202" t="s">
        <v>541</v>
      </c>
    </row>
    <row r="46" spans="1:35" ht="8.25" customHeight="1" x14ac:dyDescent="0.25">
      <c r="A46" s="203"/>
      <c r="B46" s="204"/>
      <c r="C46" s="205"/>
      <c r="D46" s="205"/>
      <c r="E46" s="205"/>
      <c r="F46" s="205"/>
      <c r="G46" s="205"/>
      <c r="H46" s="205"/>
      <c r="I46" s="205"/>
      <c r="J46" s="206"/>
      <c r="M46" s="204"/>
      <c r="N46" s="205"/>
      <c r="O46" s="205"/>
      <c r="P46" s="205"/>
      <c r="Q46" s="205"/>
      <c r="R46" s="205"/>
      <c r="S46" s="205"/>
      <c r="T46" s="205"/>
      <c r="U46" s="206"/>
      <c r="W46" s="204"/>
      <c r="X46" s="205"/>
      <c r="Y46" s="205"/>
      <c r="Z46" s="205"/>
      <c r="AA46" s="205"/>
      <c r="AB46" s="205"/>
      <c r="AC46" s="205"/>
      <c r="AD46" s="205"/>
      <c r="AE46" s="206"/>
    </row>
    <row r="47" spans="1:35" x14ac:dyDescent="0.25">
      <c r="B47" s="208" t="s">
        <v>1541</v>
      </c>
      <c r="C47" s="256">
        <f>C7/$J$41</f>
        <v>0.15699593187858824</v>
      </c>
      <c r="D47" s="256">
        <f t="shared" ref="D47:I61" si="15">D7/$J$41</f>
        <v>0</v>
      </c>
      <c r="E47" s="256">
        <f t="shared" si="15"/>
        <v>1.3670426477002229E-2</v>
      </c>
      <c r="F47" s="256">
        <f t="shared" si="15"/>
        <v>7.3199987763684887E-2</v>
      </c>
      <c r="G47" s="256">
        <f t="shared" si="15"/>
        <v>0</v>
      </c>
      <c r="H47" s="256">
        <f t="shared" si="15"/>
        <v>0</v>
      </c>
      <c r="I47" s="256">
        <f t="shared" si="15"/>
        <v>0</v>
      </c>
      <c r="J47" s="257">
        <f>SUM(C47:I47)</f>
        <v>0.24386634611927535</v>
      </c>
      <c r="K47" s="258"/>
      <c r="M47" s="208" t="s">
        <v>1541</v>
      </c>
      <c r="N47" s="259">
        <v>9.9599138674610177E-2</v>
      </c>
      <c r="O47" s="259">
        <v>5.9783045043655246E-2</v>
      </c>
      <c r="P47" s="259"/>
      <c r="Q47" s="259">
        <v>5.9099194571616012E-2</v>
      </c>
      <c r="R47" s="259">
        <v>0</v>
      </c>
      <c r="S47" s="259">
        <v>0</v>
      </c>
      <c r="T47" s="259"/>
      <c r="U47" s="260">
        <f>SUM(N47:T47)</f>
        <v>0.21848137828988146</v>
      </c>
      <c r="W47" s="208" t="s">
        <v>1541</v>
      </c>
      <c r="X47" s="259">
        <f t="shared" ref="X47:AE47" si="16">C47-N47</f>
        <v>5.7396793203978058E-2</v>
      </c>
      <c r="Y47" s="259">
        <f t="shared" si="16"/>
        <v>-5.9783045043655246E-2</v>
      </c>
      <c r="Z47" s="259">
        <f t="shared" si="16"/>
        <v>1.3670426477002229E-2</v>
      </c>
      <c r="AA47" s="259">
        <f t="shared" si="16"/>
        <v>1.4100793192068875E-2</v>
      </c>
      <c r="AB47" s="259">
        <f t="shared" si="16"/>
        <v>0</v>
      </c>
      <c r="AC47" s="259">
        <f t="shared" si="16"/>
        <v>0</v>
      </c>
      <c r="AD47" s="259">
        <f t="shared" si="16"/>
        <v>0</v>
      </c>
      <c r="AE47" s="259">
        <f t="shared" si="16"/>
        <v>2.5384967829393895E-2</v>
      </c>
    </row>
    <row r="48" spans="1:35" ht="8.25" customHeight="1" x14ac:dyDescent="0.25">
      <c r="B48" s="216"/>
      <c r="C48" s="261"/>
      <c r="D48" s="261"/>
      <c r="E48" s="261"/>
      <c r="F48" s="261"/>
      <c r="G48" s="261"/>
      <c r="H48" s="261"/>
      <c r="I48" s="261"/>
      <c r="J48" s="254"/>
      <c r="K48" s="258"/>
      <c r="M48" s="216"/>
      <c r="N48" s="262"/>
      <c r="O48" s="262"/>
      <c r="P48" s="262"/>
      <c r="Q48" s="262"/>
      <c r="R48" s="262"/>
      <c r="S48" s="262"/>
      <c r="T48" s="262"/>
      <c r="U48" s="239"/>
      <c r="W48" s="216"/>
      <c r="X48" s="262"/>
      <c r="Y48" s="262"/>
      <c r="Z48" s="262"/>
      <c r="AA48" s="262"/>
      <c r="AB48" s="262"/>
      <c r="AC48" s="262"/>
      <c r="AD48" s="262"/>
      <c r="AE48" s="239"/>
    </row>
    <row r="49" spans="1:31" x14ac:dyDescent="0.25">
      <c r="B49" s="208" t="s">
        <v>1570</v>
      </c>
      <c r="C49" s="256">
        <f>C9/$J$41</f>
        <v>5.2268456314219773E-2</v>
      </c>
      <c r="D49" s="256">
        <f t="shared" si="15"/>
        <v>0</v>
      </c>
      <c r="E49" s="256">
        <f t="shared" si="15"/>
        <v>2.1725817479823885E-3</v>
      </c>
      <c r="F49" s="256">
        <f t="shared" si="15"/>
        <v>1.586764998394094E-2</v>
      </c>
      <c r="G49" s="256">
        <f t="shared" si="15"/>
        <v>0</v>
      </c>
      <c r="H49" s="256">
        <f t="shared" si="15"/>
        <v>0.20353353645153272</v>
      </c>
      <c r="I49" s="256">
        <f t="shared" si="15"/>
        <v>0</v>
      </c>
      <c r="J49" s="257">
        <f>SUM(C49:I49)</f>
        <v>0.27384222449767581</v>
      </c>
      <c r="K49" s="258"/>
      <c r="M49" s="208" t="s">
        <v>1570</v>
      </c>
      <c r="N49" s="259">
        <v>3.9608320092629754E-2</v>
      </c>
      <c r="O49" s="259">
        <v>8.6356402153176387E-3</v>
      </c>
      <c r="P49" s="259"/>
      <c r="Q49" s="259">
        <v>1.5770873792980013E-2</v>
      </c>
      <c r="R49" s="259">
        <v>0</v>
      </c>
      <c r="S49" s="259">
        <v>0.13063651152502445</v>
      </c>
      <c r="T49" s="259"/>
      <c r="U49" s="260">
        <f>SUM(N49:T49)</f>
        <v>0.19465134562595185</v>
      </c>
      <c r="W49" s="208" t="s">
        <v>1570</v>
      </c>
      <c r="X49" s="259">
        <f t="shared" ref="X49:AE49" si="17">C49-N49</f>
        <v>1.266013622159002E-2</v>
      </c>
      <c r="Y49" s="259">
        <f t="shared" si="17"/>
        <v>-8.6356402153176387E-3</v>
      </c>
      <c r="Z49" s="259">
        <f t="shared" si="17"/>
        <v>2.1725817479823885E-3</v>
      </c>
      <c r="AA49" s="259">
        <f t="shared" si="17"/>
        <v>9.6776190960927433E-5</v>
      </c>
      <c r="AB49" s="259">
        <f t="shared" si="17"/>
        <v>0</v>
      </c>
      <c r="AC49" s="259">
        <f t="shared" si="17"/>
        <v>7.2897024926508264E-2</v>
      </c>
      <c r="AD49" s="259">
        <f t="shared" si="17"/>
        <v>0</v>
      </c>
      <c r="AE49" s="259">
        <f t="shared" si="17"/>
        <v>7.9190878871723963E-2</v>
      </c>
    </row>
    <row r="50" spans="1:31" ht="8.25" customHeight="1" x14ac:dyDescent="0.25">
      <c r="A50" s="263"/>
      <c r="B50" s="216"/>
      <c r="C50" s="261"/>
      <c r="D50" s="261"/>
      <c r="E50" s="261"/>
      <c r="F50" s="261"/>
      <c r="G50" s="261"/>
      <c r="H50" s="261"/>
      <c r="I50" s="261"/>
      <c r="J50" s="254"/>
      <c r="K50" s="258"/>
      <c r="M50" s="216"/>
      <c r="N50" s="262"/>
      <c r="O50" s="262"/>
      <c r="P50" s="262"/>
      <c r="Q50" s="262"/>
      <c r="R50" s="262"/>
      <c r="S50" s="262"/>
      <c r="T50" s="262"/>
      <c r="U50" s="239"/>
      <c r="W50" s="216"/>
      <c r="X50" s="262"/>
      <c r="Y50" s="262"/>
      <c r="Z50" s="262"/>
      <c r="AA50" s="262"/>
      <c r="AB50" s="262"/>
      <c r="AC50" s="262"/>
      <c r="AD50" s="262"/>
      <c r="AE50" s="239"/>
    </row>
    <row r="51" spans="1:31" x14ac:dyDescent="0.25">
      <c r="B51" s="208" t="s">
        <v>1571</v>
      </c>
      <c r="C51" s="256">
        <f>C11/$J$41</f>
        <v>6.8786648734607617E-2</v>
      </c>
      <c r="D51" s="256">
        <f t="shared" si="15"/>
        <v>0</v>
      </c>
      <c r="E51" s="256">
        <f t="shared" si="15"/>
        <v>4.150493600209834E-3</v>
      </c>
      <c r="F51" s="256">
        <f t="shared" si="15"/>
        <v>2.7990573998486146E-2</v>
      </c>
      <c r="G51" s="256">
        <f t="shared" si="15"/>
        <v>0</v>
      </c>
      <c r="H51" s="256">
        <f t="shared" si="15"/>
        <v>0</v>
      </c>
      <c r="I51" s="256">
        <f t="shared" si="15"/>
        <v>0</v>
      </c>
      <c r="J51" s="257">
        <f>SUM(C51:I51)</f>
        <v>0.10092771633330359</v>
      </c>
      <c r="K51" s="258"/>
      <c r="M51" s="208" t="s">
        <v>1571</v>
      </c>
      <c r="N51" s="259">
        <v>4.1715938640706225E-2</v>
      </c>
      <c r="O51" s="259">
        <v>2.2593847859587318E-2</v>
      </c>
      <c r="P51" s="259"/>
      <c r="Q51" s="259">
        <v>2.1787765053755705E-2</v>
      </c>
      <c r="R51" s="259">
        <v>0</v>
      </c>
      <c r="S51" s="259">
        <v>0</v>
      </c>
      <c r="T51" s="259"/>
      <c r="U51" s="260">
        <f>SUM(N51:T51)</f>
        <v>8.6097551554049245E-2</v>
      </c>
      <c r="W51" s="208" t="s">
        <v>1571</v>
      </c>
      <c r="X51" s="259">
        <f t="shared" ref="X51:AE51" si="18">C51-N51</f>
        <v>2.7070710093901391E-2</v>
      </c>
      <c r="Y51" s="259">
        <f t="shared" si="18"/>
        <v>-2.2593847859587318E-2</v>
      </c>
      <c r="Z51" s="259">
        <f t="shared" si="18"/>
        <v>4.150493600209834E-3</v>
      </c>
      <c r="AA51" s="259">
        <f t="shared" si="18"/>
        <v>6.2028089447304403E-3</v>
      </c>
      <c r="AB51" s="259">
        <f t="shared" si="18"/>
        <v>0</v>
      </c>
      <c r="AC51" s="259">
        <f t="shared" si="18"/>
        <v>0</v>
      </c>
      <c r="AD51" s="259">
        <f t="shared" si="18"/>
        <v>0</v>
      </c>
      <c r="AE51" s="259">
        <f t="shared" si="18"/>
        <v>1.4830164779254348E-2</v>
      </c>
    </row>
    <row r="52" spans="1:31" ht="7.5" customHeight="1" x14ac:dyDescent="0.25">
      <c r="B52" s="216"/>
      <c r="C52" s="261"/>
      <c r="D52" s="261"/>
      <c r="E52" s="261"/>
      <c r="F52" s="261"/>
      <c r="G52" s="261"/>
      <c r="H52" s="261"/>
      <c r="I52" s="261"/>
      <c r="J52" s="254"/>
      <c r="K52" s="258"/>
      <c r="M52" s="216"/>
      <c r="N52" s="262"/>
      <c r="O52" s="262"/>
      <c r="P52" s="262"/>
      <c r="Q52" s="262"/>
      <c r="R52" s="262"/>
      <c r="S52" s="262"/>
      <c r="T52" s="262"/>
      <c r="U52" s="239"/>
      <c r="W52" s="216"/>
      <c r="X52" s="262"/>
      <c r="Y52" s="262"/>
      <c r="Z52" s="262"/>
      <c r="AA52" s="262"/>
      <c r="AB52" s="262"/>
      <c r="AC52" s="262"/>
      <c r="AD52" s="262"/>
      <c r="AE52" s="239"/>
    </row>
    <row r="53" spans="1:31" x14ac:dyDescent="0.25">
      <c r="B53" s="208" t="s">
        <v>1572</v>
      </c>
      <c r="C53" s="256">
        <f>C13/$J$41</f>
        <v>3.9232144434360239E-2</v>
      </c>
      <c r="D53" s="256">
        <f t="shared" si="15"/>
        <v>0</v>
      </c>
      <c r="E53" s="256">
        <f t="shared" si="15"/>
        <v>0</v>
      </c>
      <c r="F53" s="256">
        <f t="shared" si="15"/>
        <v>1.709070262013972E-2</v>
      </c>
      <c r="G53" s="256">
        <f t="shared" si="15"/>
        <v>0</v>
      </c>
      <c r="H53" s="256">
        <f t="shared" si="15"/>
        <v>0</v>
      </c>
      <c r="I53" s="256">
        <f t="shared" si="15"/>
        <v>0</v>
      </c>
      <c r="J53" s="257">
        <f>SUM(C53:I53)</f>
        <v>5.6322847054499955E-2</v>
      </c>
      <c r="K53" s="264"/>
      <c r="L53" s="212"/>
      <c r="M53" s="208" t="s">
        <v>1572</v>
      </c>
      <c r="N53" s="259">
        <v>2.7430511799162251E-2</v>
      </c>
      <c r="O53" s="259">
        <v>1.2437978565673368E-2</v>
      </c>
      <c r="P53" s="259"/>
      <c r="Q53" s="259">
        <v>1.7722905294852064E-2</v>
      </c>
      <c r="R53" s="259">
        <v>0</v>
      </c>
      <c r="S53" s="259">
        <v>0</v>
      </c>
      <c r="T53" s="259"/>
      <c r="U53" s="260">
        <f>SUM(N53:T53)</f>
        <v>5.7591395659687683E-2</v>
      </c>
      <c r="W53" s="208" t="s">
        <v>1572</v>
      </c>
      <c r="X53" s="259">
        <f t="shared" ref="X53:AE53" si="19">C53-N53</f>
        <v>1.1801632635197987E-2</v>
      </c>
      <c r="Y53" s="259">
        <f t="shared" si="19"/>
        <v>-1.2437978565673368E-2</v>
      </c>
      <c r="Z53" s="259">
        <f t="shared" si="19"/>
        <v>0</v>
      </c>
      <c r="AA53" s="259">
        <f t="shared" si="19"/>
        <v>-6.322026747123434E-4</v>
      </c>
      <c r="AB53" s="259">
        <f t="shared" si="19"/>
        <v>0</v>
      </c>
      <c r="AC53" s="259">
        <f t="shared" si="19"/>
        <v>0</v>
      </c>
      <c r="AD53" s="259">
        <f t="shared" si="19"/>
        <v>0</v>
      </c>
      <c r="AE53" s="259">
        <f t="shared" si="19"/>
        <v>-1.2685486051877276E-3</v>
      </c>
    </row>
    <row r="54" spans="1:31" ht="7.5" customHeight="1" x14ac:dyDescent="0.25">
      <c r="B54" s="216"/>
      <c r="C54" s="261"/>
      <c r="D54" s="261"/>
      <c r="E54" s="261"/>
      <c r="F54" s="261"/>
      <c r="G54" s="261"/>
      <c r="H54" s="261"/>
      <c r="I54" s="261"/>
      <c r="J54" s="254"/>
      <c r="K54" s="264"/>
      <c r="L54" s="219"/>
      <c r="M54" s="216"/>
      <c r="N54" s="262"/>
      <c r="O54" s="262"/>
      <c r="P54" s="262"/>
      <c r="Q54" s="262"/>
      <c r="R54" s="262"/>
      <c r="S54" s="262"/>
      <c r="T54" s="262"/>
      <c r="U54" s="239"/>
      <c r="W54" s="216"/>
      <c r="X54" s="262"/>
      <c r="Y54" s="262"/>
      <c r="Z54" s="262"/>
      <c r="AA54" s="262"/>
      <c r="AB54" s="262"/>
      <c r="AC54" s="262"/>
      <c r="AD54" s="262"/>
      <c r="AE54" s="239"/>
    </row>
    <row r="55" spans="1:31" x14ac:dyDescent="0.25">
      <c r="B55" s="208" t="s">
        <v>1543</v>
      </c>
      <c r="C55" s="256">
        <f>C15/$J$41</f>
        <v>2.4832321892250882E-2</v>
      </c>
      <c r="D55" s="256">
        <f t="shared" si="15"/>
        <v>0</v>
      </c>
      <c r="E55" s="256">
        <f t="shared" si="15"/>
        <v>0</v>
      </c>
      <c r="F55" s="256">
        <f t="shared" si="15"/>
        <v>0</v>
      </c>
      <c r="G55" s="256">
        <f t="shared" si="15"/>
        <v>0</v>
      </c>
      <c r="H55" s="256">
        <f t="shared" si="15"/>
        <v>0</v>
      </c>
      <c r="I55" s="256">
        <f t="shared" si="15"/>
        <v>0</v>
      </c>
      <c r="J55" s="257">
        <f>SUM(C55:I55)</f>
        <v>2.4832321892250882E-2</v>
      </c>
      <c r="K55" s="265"/>
      <c r="L55" s="266"/>
      <c r="M55" s="208" t="s">
        <v>1543</v>
      </c>
      <c r="N55" s="259">
        <v>8.3439368895646786E-3</v>
      </c>
      <c r="O55" s="259">
        <v>1.151720588059318E-3</v>
      </c>
      <c r="P55" s="259"/>
      <c r="Q55" s="259">
        <v>0</v>
      </c>
      <c r="R55" s="259">
        <v>0</v>
      </c>
      <c r="S55" s="259">
        <v>0</v>
      </c>
      <c r="T55" s="259"/>
      <c r="U55" s="260">
        <f>SUM(N55:T55)</f>
        <v>9.495657477623997E-3</v>
      </c>
      <c r="W55" s="208" t="s">
        <v>1543</v>
      </c>
      <c r="X55" s="259">
        <f t="shared" ref="X55:AE55" si="20">C55-N55</f>
        <v>1.6488385002686203E-2</v>
      </c>
      <c r="Y55" s="259">
        <f t="shared" si="20"/>
        <v>-1.151720588059318E-3</v>
      </c>
      <c r="Z55" s="259">
        <f t="shared" si="20"/>
        <v>0</v>
      </c>
      <c r="AA55" s="259">
        <f t="shared" si="20"/>
        <v>0</v>
      </c>
      <c r="AB55" s="259">
        <f t="shared" si="20"/>
        <v>0</v>
      </c>
      <c r="AC55" s="259">
        <f t="shared" si="20"/>
        <v>0</v>
      </c>
      <c r="AD55" s="259">
        <f t="shared" si="20"/>
        <v>0</v>
      </c>
      <c r="AE55" s="259">
        <f t="shared" si="20"/>
        <v>1.5336664414626885E-2</v>
      </c>
    </row>
    <row r="56" spans="1:31" ht="7.5" customHeight="1" x14ac:dyDescent="0.25">
      <c r="B56" s="216"/>
      <c r="C56" s="261"/>
      <c r="D56" s="261"/>
      <c r="E56" s="261"/>
      <c r="F56" s="261"/>
      <c r="G56" s="261"/>
      <c r="H56" s="261"/>
      <c r="I56" s="261"/>
      <c r="J56" s="254"/>
      <c r="K56" s="265"/>
      <c r="L56" s="266"/>
      <c r="M56" s="216"/>
      <c r="N56" s="262"/>
      <c r="O56" s="262"/>
      <c r="P56" s="262"/>
      <c r="Q56" s="262"/>
      <c r="R56" s="262"/>
      <c r="S56" s="262"/>
      <c r="T56" s="262"/>
      <c r="U56" s="239"/>
      <c r="W56" s="216"/>
      <c r="X56" s="262"/>
      <c r="Y56" s="262"/>
      <c r="Z56" s="262"/>
      <c r="AA56" s="262"/>
      <c r="AB56" s="262"/>
      <c r="AC56" s="262"/>
      <c r="AD56" s="262"/>
      <c r="AE56" s="239"/>
    </row>
    <row r="57" spans="1:31" ht="18.75" customHeight="1" x14ac:dyDescent="0.25">
      <c r="B57" s="208" t="s">
        <v>1574</v>
      </c>
      <c r="C57" s="256">
        <f>C17/$J$41</f>
        <v>0</v>
      </c>
      <c r="D57" s="256">
        <f t="shared" si="15"/>
        <v>0</v>
      </c>
      <c r="E57" s="256">
        <f t="shared" si="15"/>
        <v>0</v>
      </c>
      <c r="F57" s="256">
        <f t="shared" si="15"/>
        <v>0</v>
      </c>
      <c r="G57" s="256">
        <f t="shared" si="15"/>
        <v>0</v>
      </c>
      <c r="H57" s="256">
        <f t="shared" si="15"/>
        <v>0</v>
      </c>
      <c r="I57" s="256">
        <f t="shared" si="15"/>
        <v>0</v>
      </c>
      <c r="J57" s="257">
        <f>SUM(C57:I57)</f>
        <v>0</v>
      </c>
      <c r="K57" s="265"/>
      <c r="L57" s="266"/>
      <c r="M57" s="208" t="s">
        <v>1574</v>
      </c>
      <c r="N57" s="259">
        <v>4.2974423515136015E-3</v>
      </c>
      <c r="O57" s="259">
        <v>2.2279680052104235E-3</v>
      </c>
      <c r="P57" s="259"/>
      <c r="Q57" s="259">
        <v>0</v>
      </c>
      <c r="R57" s="259">
        <v>0</v>
      </c>
      <c r="S57" s="259">
        <v>0</v>
      </c>
      <c r="T57" s="259"/>
      <c r="U57" s="260">
        <f>SUM(N57:T57)</f>
        <v>6.525410356724025E-3</v>
      </c>
      <c r="W57" s="208" t="s">
        <v>1574</v>
      </c>
      <c r="X57" s="259">
        <f t="shared" ref="X57:AE57" si="21">C57-N57</f>
        <v>-4.2974423515136015E-3</v>
      </c>
      <c r="Y57" s="259">
        <f t="shared" si="21"/>
        <v>-2.2279680052104235E-3</v>
      </c>
      <c r="Z57" s="259">
        <f t="shared" si="21"/>
        <v>0</v>
      </c>
      <c r="AA57" s="259">
        <f t="shared" si="21"/>
        <v>0</v>
      </c>
      <c r="AB57" s="259">
        <f t="shared" si="21"/>
        <v>0</v>
      </c>
      <c r="AC57" s="259">
        <f t="shared" si="21"/>
        <v>0</v>
      </c>
      <c r="AD57" s="259">
        <f t="shared" si="21"/>
        <v>0</v>
      </c>
      <c r="AE57" s="259">
        <f t="shared" si="21"/>
        <v>-6.525410356724025E-3</v>
      </c>
    </row>
    <row r="58" spans="1:31" ht="7.5" customHeight="1" x14ac:dyDescent="0.25">
      <c r="B58" s="216"/>
      <c r="C58" s="261"/>
      <c r="D58" s="261"/>
      <c r="E58" s="261"/>
      <c r="F58" s="261"/>
      <c r="G58" s="261"/>
      <c r="H58" s="261"/>
      <c r="I58" s="261"/>
      <c r="J58" s="254"/>
      <c r="K58" s="265"/>
      <c r="L58" s="266"/>
      <c r="M58" s="216"/>
      <c r="N58" s="262"/>
      <c r="O58" s="262"/>
      <c r="P58" s="262"/>
      <c r="Q58" s="262"/>
      <c r="R58" s="262"/>
      <c r="S58" s="262"/>
      <c r="T58" s="262"/>
      <c r="U58" s="239"/>
      <c r="W58" s="216"/>
      <c r="X58" s="262"/>
      <c r="Y58" s="262"/>
      <c r="Z58" s="262"/>
      <c r="AA58" s="262"/>
      <c r="AB58" s="262"/>
      <c r="AC58" s="262"/>
      <c r="AD58" s="262"/>
      <c r="AE58" s="239"/>
    </row>
    <row r="59" spans="1:31" x14ac:dyDescent="0.25">
      <c r="B59" s="208" t="s">
        <v>1575</v>
      </c>
      <c r="C59" s="256">
        <f>C19/$J$41</f>
        <v>0</v>
      </c>
      <c r="D59" s="256">
        <f t="shared" si="15"/>
        <v>0</v>
      </c>
      <c r="E59" s="256">
        <f t="shared" si="15"/>
        <v>0</v>
      </c>
      <c r="F59" s="256">
        <f t="shared" si="15"/>
        <v>0</v>
      </c>
      <c r="G59" s="256">
        <f t="shared" si="15"/>
        <v>0</v>
      </c>
      <c r="H59" s="256">
        <f t="shared" si="15"/>
        <v>8.2966338230040501E-2</v>
      </c>
      <c r="I59" s="256">
        <f t="shared" si="15"/>
        <v>0</v>
      </c>
      <c r="J59" s="257">
        <f>SUM(C59:I59)</f>
        <v>8.2966338230040501E-2</v>
      </c>
      <c r="K59" s="265"/>
      <c r="L59" s="266"/>
      <c r="M59" s="208" t="s">
        <v>1575</v>
      </c>
      <c r="N59" s="259">
        <v>0</v>
      </c>
      <c r="O59" s="259">
        <v>0</v>
      </c>
      <c r="P59" s="259"/>
      <c r="Q59" s="259">
        <v>0</v>
      </c>
      <c r="R59" s="259">
        <v>0</v>
      </c>
      <c r="S59" s="259">
        <v>3.5324462911879635E-2</v>
      </c>
      <c r="T59" s="259"/>
      <c r="U59" s="260">
        <f>SUM(N59:T59)</f>
        <v>3.5324462911879635E-2</v>
      </c>
      <c r="W59" s="208" t="s">
        <v>1575</v>
      </c>
      <c r="X59" s="259">
        <f t="shared" ref="X59:AE59" si="22">C59-N59</f>
        <v>0</v>
      </c>
      <c r="Y59" s="259">
        <f t="shared" si="22"/>
        <v>0</v>
      </c>
      <c r="Z59" s="259">
        <f t="shared" si="22"/>
        <v>0</v>
      </c>
      <c r="AA59" s="259">
        <f t="shared" si="22"/>
        <v>0</v>
      </c>
      <c r="AB59" s="259">
        <f t="shared" si="22"/>
        <v>0</v>
      </c>
      <c r="AC59" s="259">
        <f t="shared" si="22"/>
        <v>4.7641875318160866E-2</v>
      </c>
      <c r="AD59" s="259">
        <f t="shared" si="22"/>
        <v>0</v>
      </c>
      <c r="AE59" s="259">
        <f t="shared" si="22"/>
        <v>4.7641875318160866E-2</v>
      </c>
    </row>
    <row r="60" spans="1:31" ht="7.5" customHeight="1" x14ac:dyDescent="0.25">
      <c r="B60" s="216"/>
      <c r="C60" s="261"/>
      <c r="D60" s="261"/>
      <c r="E60" s="261"/>
      <c r="F60" s="261"/>
      <c r="G60" s="261"/>
      <c r="H60" s="261"/>
      <c r="I60" s="261"/>
      <c r="J60" s="254"/>
      <c r="K60" s="265"/>
      <c r="L60" s="266"/>
      <c r="M60" s="216"/>
      <c r="N60" s="262"/>
      <c r="O60" s="262"/>
      <c r="P60" s="262"/>
      <c r="Q60" s="262"/>
      <c r="R60" s="262"/>
      <c r="S60" s="262"/>
      <c r="T60" s="262"/>
      <c r="U60" s="239"/>
      <c r="W60" s="216"/>
      <c r="X60" s="262"/>
      <c r="Y60" s="262"/>
      <c r="Z60" s="262"/>
      <c r="AA60" s="262"/>
      <c r="AB60" s="262"/>
      <c r="AC60" s="262"/>
      <c r="AD60" s="262"/>
      <c r="AE60" s="239"/>
    </row>
    <row r="61" spans="1:31" x14ac:dyDescent="0.25">
      <c r="B61" s="208" t="s">
        <v>1538</v>
      </c>
      <c r="C61" s="256">
        <f>C21/$J$41</f>
        <v>3.0999332767053063E-3</v>
      </c>
      <c r="D61" s="256">
        <f t="shared" si="15"/>
        <v>0</v>
      </c>
      <c r="E61" s="256">
        <f t="shared" si="15"/>
        <v>0</v>
      </c>
      <c r="F61" s="256">
        <f t="shared" si="15"/>
        <v>0</v>
      </c>
      <c r="G61" s="256">
        <f t="shared" si="15"/>
        <v>0</v>
      </c>
      <c r="H61" s="256">
        <f t="shared" si="15"/>
        <v>0</v>
      </c>
      <c r="I61" s="256">
        <f t="shared" si="15"/>
        <v>0</v>
      </c>
      <c r="J61" s="257">
        <f>SUM(C61:I61)</f>
        <v>3.0999332767053063E-3</v>
      </c>
      <c r="K61" s="265"/>
      <c r="L61" s="266"/>
      <c r="M61" s="208" t="s">
        <v>1538</v>
      </c>
      <c r="N61" s="259">
        <v>2.5358985425159297E-3</v>
      </c>
      <c r="O61" s="259">
        <v>0</v>
      </c>
      <c r="P61" s="259"/>
      <c r="Q61" s="259">
        <v>0</v>
      </c>
      <c r="R61" s="259">
        <v>0</v>
      </c>
      <c r="S61" s="259">
        <v>0</v>
      </c>
      <c r="T61" s="259"/>
      <c r="U61" s="260">
        <f>SUM(N61:T61)</f>
        <v>2.5358985425159297E-3</v>
      </c>
      <c r="W61" s="208" t="s">
        <v>1538</v>
      </c>
      <c r="X61" s="259">
        <f t="shared" ref="X61:AE61" si="23">C61-N61</f>
        <v>5.6403473418937655E-4</v>
      </c>
      <c r="Y61" s="259">
        <f t="shared" si="23"/>
        <v>0</v>
      </c>
      <c r="Z61" s="259">
        <f t="shared" si="23"/>
        <v>0</v>
      </c>
      <c r="AA61" s="259">
        <f t="shared" si="23"/>
        <v>0</v>
      </c>
      <c r="AB61" s="259">
        <f t="shared" si="23"/>
        <v>0</v>
      </c>
      <c r="AC61" s="259">
        <f t="shared" si="23"/>
        <v>0</v>
      </c>
      <c r="AD61" s="259">
        <f t="shared" si="23"/>
        <v>0</v>
      </c>
      <c r="AE61" s="259">
        <f t="shared" si="23"/>
        <v>5.6403473418937655E-4</v>
      </c>
    </row>
    <row r="62" spans="1:31" ht="7.5" customHeight="1" x14ac:dyDescent="0.25">
      <c r="B62" s="216"/>
      <c r="C62" s="261"/>
      <c r="D62" s="261"/>
      <c r="E62" s="261"/>
      <c r="F62" s="261"/>
      <c r="G62" s="261"/>
      <c r="H62" s="261"/>
      <c r="I62" s="261"/>
      <c r="J62" s="254"/>
      <c r="K62" s="265"/>
      <c r="L62" s="266"/>
      <c r="M62" s="216"/>
      <c r="N62" s="262"/>
      <c r="O62" s="262"/>
      <c r="P62" s="262"/>
      <c r="Q62" s="262"/>
      <c r="R62" s="262"/>
      <c r="S62" s="262"/>
      <c r="T62" s="262"/>
      <c r="U62" s="239"/>
      <c r="W62" s="216"/>
      <c r="X62" s="262"/>
      <c r="Y62" s="262"/>
      <c r="Z62" s="262"/>
      <c r="AA62" s="262"/>
      <c r="AB62" s="262"/>
      <c r="AC62" s="262"/>
      <c r="AD62" s="262"/>
      <c r="AE62" s="239"/>
    </row>
    <row r="63" spans="1:31" x14ac:dyDescent="0.25">
      <c r="B63" s="208" t="s">
        <v>1576</v>
      </c>
      <c r="C63" s="256">
        <f>C23/$J$41</f>
        <v>2.109334566661162E-3</v>
      </c>
      <c r="D63" s="256">
        <f t="shared" ref="D63:I67" si="24">D23/$J$41</f>
        <v>0</v>
      </c>
      <c r="E63" s="256">
        <f t="shared" si="24"/>
        <v>0</v>
      </c>
      <c r="F63" s="256">
        <f t="shared" si="24"/>
        <v>0</v>
      </c>
      <c r="G63" s="256">
        <f t="shared" si="24"/>
        <v>0</v>
      </c>
      <c r="H63" s="256">
        <f t="shared" si="24"/>
        <v>0</v>
      </c>
      <c r="I63" s="256">
        <f t="shared" si="24"/>
        <v>0</v>
      </c>
      <c r="J63" s="257">
        <f>SUM(C63:I63)</f>
        <v>2.109334566661162E-3</v>
      </c>
      <c r="K63" s="265"/>
      <c r="L63" s="266"/>
      <c r="M63" s="208" t="s">
        <v>1576</v>
      </c>
      <c r="N63" s="259">
        <v>7.2861799194788041E-3</v>
      </c>
      <c r="O63" s="259">
        <v>0</v>
      </c>
      <c r="P63" s="259"/>
      <c r="Q63" s="259">
        <v>0</v>
      </c>
      <c r="R63" s="259">
        <v>0</v>
      </c>
      <c r="S63" s="259">
        <v>0</v>
      </c>
      <c r="T63" s="259"/>
      <c r="U63" s="260">
        <f>SUM(N63:T63)</f>
        <v>7.2861799194788041E-3</v>
      </c>
      <c r="W63" s="208" t="s">
        <v>1576</v>
      </c>
      <c r="X63" s="259">
        <f t="shared" ref="X63:AE63" si="25">C63-N63</f>
        <v>-5.1768453528176425E-3</v>
      </c>
      <c r="Y63" s="259">
        <f t="shared" si="25"/>
        <v>0</v>
      </c>
      <c r="Z63" s="259">
        <f t="shared" si="25"/>
        <v>0</v>
      </c>
      <c r="AA63" s="259">
        <f t="shared" si="25"/>
        <v>0</v>
      </c>
      <c r="AB63" s="259">
        <f t="shared" si="25"/>
        <v>0</v>
      </c>
      <c r="AC63" s="259">
        <f t="shared" si="25"/>
        <v>0</v>
      </c>
      <c r="AD63" s="259">
        <f t="shared" si="25"/>
        <v>0</v>
      </c>
      <c r="AE63" s="259">
        <f t="shared" si="25"/>
        <v>-5.1768453528176425E-3</v>
      </c>
    </row>
    <row r="64" spans="1:31" ht="7.5" customHeight="1" x14ac:dyDescent="0.25">
      <c r="B64" s="216"/>
      <c r="C64" s="261"/>
      <c r="D64" s="261"/>
      <c r="E64" s="261"/>
      <c r="F64" s="261"/>
      <c r="G64" s="261"/>
      <c r="H64" s="261"/>
      <c r="I64" s="261"/>
      <c r="J64" s="254"/>
      <c r="K64" s="265"/>
      <c r="L64" s="266"/>
      <c r="M64" s="216"/>
      <c r="N64" s="262"/>
      <c r="O64" s="262"/>
      <c r="P64" s="262"/>
      <c r="Q64" s="262"/>
      <c r="R64" s="262"/>
      <c r="S64" s="262"/>
      <c r="T64" s="262"/>
      <c r="U64" s="239"/>
      <c r="W64" s="216"/>
      <c r="X64" s="262"/>
      <c r="Y64" s="262"/>
      <c r="Z64" s="262"/>
      <c r="AA64" s="262"/>
      <c r="AB64" s="262"/>
      <c r="AC64" s="262"/>
      <c r="AD64" s="262"/>
      <c r="AE64" s="239"/>
    </row>
    <row r="65" spans="2:31" ht="15" customHeight="1" x14ac:dyDescent="0.25">
      <c r="B65" s="222" t="s">
        <v>1577</v>
      </c>
      <c r="C65" s="267">
        <f>C25/$J$41</f>
        <v>4.0986969101675375E-2</v>
      </c>
      <c r="D65" s="267">
        <f t="shared" si="24"/>
        <v>0</v>
      </c>
      <c r="E65" s="267">
        <f t="shared" si="24"/>
        <v>0</v>
      </c>
      <c r="F65" s="267">
        <f t="shared" si="24"/>
        <v>1.6571251468501528E-2</v>
      </c>
      <c r="G65" s="267">
        <f t="shared" si="24"/>
        <v>0</v>
      </c>
      <c r="H65" s="267">
        <f t="shared" si="24"/>
        <v>0</v>
      </c>
      <c r="I65" s="267">
        <f t="shared" si="24"/>
        <v>0</v>
      </c>
      <c r="J65" s="268">
        <f>SUM(C65:I65)</f>
        <v>5.7558220570176899E-2</v>
      </c>
      <c r="K65" s="265"/>
      <c r="L65" s="266"/>
      <c r="M65" s="222" t="s">
        <v>1577</v>
      </c>
      <c r="N65" s="269">
        <v>1.6819040304437659E-2</v>
      </c>
      <c r="O65" s="269">
        <v>8.777824114936739E-3</v>
      </c>
      <c r="P65" s="269"/>
      <c r="Q65" s="269">
        <v>1.0898474516359348E-2</v>
      </c>
      <c r="R65" s="269">
        <v>0</v>
      </c>
      <c r="S65" s="269">
        <v>0</v>
      </c>
      <c r="T65" s="269"/>
      <c r="U65" s="270">
        <f>SUM(N65:T65)</f>
        <v>3.649533893573375E-2</v>
      </c>
      <c r="W65" s="208" t="s">
        <v>1577</v>
      </c>
      <c r="X65" s="259">
        <f t="shared" ref="X65:AE65" si="26">C65-N65</f>
        <v>2.4167928797237715E-2</v>
      </c>
      <c r="Y65" s="259">
        <f t="shared" si="26"/>
        <v>-8.777824114936739E-3</v>
      </c>
      <c r="Z65" s="259">
        <f t="shared" si="26"/>
        <v>0</v>
      </c>
      <c r="AA65" s="259">
        <f t="shared" si="26"/>
        <v>5.6727769521421802E-3</v>
      </c>
      <c r="AB65" s="259">
        <f t="shared" si="26"/>
        <v>0</v>
      </c>
      <c r="AC65" s="259">
        <f t="shared" si="26"/>
        <v>0</v>
      </c>
      <c r="AD65" s="259">
        <f t="shared" si="26"/>
        <v>0</v>
      </c>
      <c r="AE65" s="259">
        <f t="shared" si="26"/>
        <v>2.1062881634443149E-2</v>
      </c>
    </row>
    <row r="66" spans="2:31" ht="7.5" customHeight="1" x14ac:dyDescent="0.25">
      <c r="B66" s="227"/>
      <c r="C66" s="261"/>
      <c r="D66" s="261"/>
      <c r="E66" s="261"/>
      <c r="F66" s="261"/>
      <c r="G66" s="261"/>
      <c r="H66" s="261"/>
      <c r="I66" s="271"/>
      <c r="J66" s="254"/>
      <c r="K66" s="265"/>
      <c r="L66" s="266"/>
      <c r="M66" s="227"/>
      <c r="N66" s="262"/>
      <c r="O66" s="262"/>
      <c r="P66" s="262"/>
      <c r="Q66" s="262"/>
      <c r="R66" s="262"/>
      <c r="S66" s="262"/>
      <c r="T66" s="272"/>
      <c r="U66" s="239"/>
      <c r="W66" s="216"/>
      <c r="X66" s="262"/>
      <c r="Y66" s="262"/>
      <c r="Z66" s="262"/>
      <c r="AA66" s="262"/>
      <c r="AB66" s="262"/>
      <c r="AC66" s="262"/>
      <c r="AD66" s="272"/>
      <c r="AE66" s="239"/>
    </row>
    <row r="67" spans="2:31" ht="18" customHeight="1" x14ac:dyDescent="0.25">
      <c r="B67" s="222" t="s">
        <v>1579</v>
      </c>
      <c r="C67" s="267">
        <f>C27/$J$41</f>
        <v>1.4325628569396997E-2</v>
      </c>
      <c r="D67" s="267">
        <f t="shared" si="24"/>
        <v>0</v>
      </c>
      <c r="E67" s="267">
        <f t="shared" si="24"/>
        <v>0</v>
      </c>
      <c r="F67" s="267">
        <f t="shared" si="24"/>
        <v>5.6610144801164594E-3</v>
      </c>
      <c r="G67" s="267">
        <f t="shared" si="24"/>
        <v>0</v>
      </c>
      <c r="H67" s="267">
        <f t="shared" si="24"/>
        <v>1.0735895227716808E-2</v>
      </c>
      <c r="I67" s="267">
        <f t="shared" si="24"/>
        <v>1.1938186812855341E-4</v>
      </c>
      <c r="J67" s="268">
        <f>SUM(C67:I67)</f>
        <v>3.0841920145358814E-2</v>
      </c>
      <c r="K67" s="265"/>
      <c r="L67" s="266"/>
      <c r="M67" s="222" t="s">
        <v>1579</v>
      </c>
      <c r="N67" s="269">
        <v>0</v>
      </c>
      <c r="O67" s="269">
        <v>0</v>
      </c>
      <c r="P67" s="269"/>
      <c r="Q67" s="269">
        <v>0</v>
      </c>
      <c r="R67" s="269">
        <v>0</v>
      </c>
      <c r="S67" s="269">
        <v>0</v>
      </c>
      <c r="T67" s="269"/>
      <c r="U67" s="270">
        <f>SUM(N67:T67)</f>
        <v>0</v>
      </c>
      <c r="W67" s="208" t="s">
        <v>1579</v>
      </c>
      <c r="X67" s="259">
        <f t="shared" ref="X67:AE67" si="27">C67-N67</f>
        <v>1.4325628569396997E-2</v>
      </c>
      <c r="Y67" s="259">
        <f t="shared" si="27"/>
        <v>0</v>
      </c>
      <c r="Z67" s="259">
        <f t="shared" si="27"/>
        <v>0</v>
      </c>
      <c r="AA67" s="259">
        <f t="shared" si="27"/>
        <v>5.6610144801164594E-3</v>
      </c>
      <c r="AB67" s="259">
        <f t="shared" si="27"/>
        <v>0</v>
      </c>
      <c r="AC67" s="259">
        <f t="shared" si="27"/>
        <v>1.0735895227716808E-2</v>
      </c>
      <c r="AD67" s="259">
        <f t="shared" si="27"/>
        <v>1.1938186812855341E-4</v>
      </c>
      <c r="AE67" s="259">
        <f t="shared" si="27"/>
        <v>3.0841920145358814E-2</v>
      </c>
    </row>
    <row r="68" spans="2:31" ht="7.5" customHeight="1" x14ac:dyDescent="0.25">
      <c r="B68" s="230"/>
      <c r="C68" s="261"/>
      <c r="D68" s="261"/>
      <c r="E68" s="261"/>
      <c r="F68" s="261"/>
      <c r="G68" s="261"/>
      <c r="H68" s="261"/>
      <c r="I68" s="261"/>
      <c r="J68" s="254"/>
      <c r="K68" s="265"/>
      <c r="L68" s="266"/>
      <c r="M68" s="230"/>
      <c r="N68" s="262"/>
      <c r="O68" s="262"/>
      <c r="P68" s="262"/>
      <c r="Q68" s="262"/>
      <c r="R68" s="262"/>
      <c r="S68" s="262"/>
      <c r="T68" s="262"/>
      <c r="U68" s="239"/>
      <c r="W68" s="216"/>
      <c r="X68" s="262"/>
      <c r="Y68" s="262"/>
      <c r="Z68" s="262"/>
      <c r="AA68" s="262"/>
      <c r="AB68" s="262"/>
      <c r="AC68" s="262"/>
      <c r="AD68" s="262"/>
      <c r="AE68" s="239"/>
    </row>
    <row r="69" spans="2:31" x14ac:dyDescent="0.25">
      <c r="B69" s="208" t="s">
        <v>1581</v>
      </c>
      <c r="C69" s="256">
        <f>C29/$J$41</f>
        <v>0</v>
      </c>
      <c r="D69" s="256">
        <f t="shared" ref="D69:I69" si="28">D29/$J$41</f>
        <v>0</v>
      </c>
      <c r="E69" s="256">
        <f t="shared" si="28"/>
        <v>0</v>
      </c>
      <c r="F69" s="256">
        <f t="shared" si="28"/>
        <v>0</v>
      </c>
      <c r="G69" s="256">
        <f t="shared" si="28"/>
        <v>0</v>
      </c>
      <c r="H69" s="256">
        <f t="shared" si="28"/>
        <v>0</v>
      </c>
      <c r="I69" s="256">
        <f t="shared" si="28"/>
        <v>0</v>
      </c>
      <c r="J69" s="257">
        <f>SUM(C69:I69)</f>
        <v>0</v>
      </c>
      <c r="K69" s="265"/>
      <c r="L69" s="266"/>
      <c r="M69" s="208" t="s">
        <v>1581</v>
      </c>
      <c r="N69" s="259">
        <v>4.0953349936172993E-2</v>
      </c>
      <c r="O69" s="259">
        <v>2.4580781541363859E-2</v>
      </c>
      <c r="P69" s="259"/>
      <c r="Q69" s="259">
        <v>2.429927869976824E-2</v>
      </c>
      <c r="R69" s="259">
        <v>0</v>
      </c>
      <c r="S69" s="259">
        <v>0</v>
      </c>
      <c r="T69" s="259"/>
      <c r="U69" s="260">
        <f>SUM(N69:T69)</f>
        <v>8.983341017730509E-2</v>
      </c>
      <c r="W69" s="208" t="s">
        <v>1581</v>
      </c>
      <c r="X69" s="259">
        <f t="shared" ref="X69:AE69" si="29">C69-N69</f>
        <v>-4.0953349936172993E-2</v>
      </c>
      <c r="Y69" s="259">
        <f t="shared" si="29"/>
        <v>-2.4580781541363859E-2</v>
      </c>
      <c r="Z69" s="259">
        <f t="shared" si="29"/>
        <v>0</v>
      </c>
      <c r="AA69" s="259">
        <f t="shared" si="29"/>
        <v>-2.429927869976824E-2</v>
      </c>
      <c r="AB69" s="259">
        <f t="shared" si="29"/>
        <v>0</v>
      </c>
      <c r="AC69" s="259">
        <f t="shared" si="29"/>
        <v>0</v>
      </c>
      <c r="AD69" s="259">
        <f t="shared" si="29"/>
        <v>0</v>
      </c>
      <c r="AE69" s="259">
        <f t="shared" si="29"/>
        <v>-8.983341017730509E-2</v>
      </c>
    </row>
    <row r="70" spans="2:31" ht="7.5" customHeight="1" x14ac:dyDescent="0.25">
      <c r="B70" s="216"/>
      <c r="C70" s="261"/>
      <c r="D70" s="261"/>
      <c r="E70" s="261"/>
      <c r="F70" s="261"/>
      <c r="G70" s="261"/>
      <c r="H70" s="261"/>
      <c r="I70" s="261"/>
      <c r="J70" s="254"/>
      <c r="K70" s="265"/>
      <c r="L70" s="266"/>
      <c r="M70" s="216"/>
      <c r="N70" s="262"/>
      <c r="O70" s="262"/>
      <c r="P70" s="262"/>
      <c r="Q70" s="262"/>
      <c r="R70" s="262"/>
      <c r="S70" s="262"/>
      <c r="T70" s="262"/>
      <c r="U70" s="239"/>
      <c r="W70" s="216"/>
      <c r="X70" s="262"/>
      <c r="Y70" s="262"/>
      <c r="Z70" s="262"/>
      <c r="AA70" s="262"/>
      <c r="AB70" s="262"/>
      <c r="AC70" s="262"/>
      <c r="AD70" s="262"/>
      <c r="AE70" s="239"/>
    </row>
    <row r="71" spans="2:31" ht="13.5" customHeight="1" x14ac:dyDescent="0.25">
      <c r="B71" s="231" t="s">
        <v>1582</v>
      </c>
      <c r="C71" s="273">
        <f>C31/$J$41</f>
        <v>2.2745305811990389E-2</v>
      </c>
      <c r="D71" s="273">
        <f t="shared" ref="D71:I71" si="30">D31/$J$41</f>
        <v>0</v>
      </c>
      <c r="E71" s="273">
        <f t="shared" si="30"/>
        <v>0</v>
      </c>
      <c r="F71" s="273">
        <f t="shared" si="30"/>
        <v>1.633980946059712E-2</v>
      </c>
      <c r="G71" s="273">
        <f t="shared" si="30"/>
        <v>0</v>
      </c>
      <c r="H71" s="273">
        <f t="shared" si="30"/>
        <v>0</v>
      </c>
      <c r="I71" s="273">
        <f t="shared" si="30"/>
        <v>0</v>
      </c>
      <c r="J71" s="274">
        <f>SUM(C71:I71)</f>
        <v>3.9085115272587512E-2</v>
      </c>
      <c r="K71" s="265"/>
      <c r="L71" s="266"/>
      <c r="M71" s="231" t="s">
        <v>1582</v>
      </c>
      <c r="N71" s="275">
        <v>2.3087248038668608E-2</v>
      </c>
      <c r="O71" s="275">
        <v>1.2551133744807181E-3</v>
      </c>
      <c r="P71" s="275"/>
      <c r="Q71" s="275">
        <v>1.7385245318583032E-2</v>
      </c>
      <c r="R71" s="275">
        <v>0</v>
      </c>
      <c r="S71" s="275">
        <v>0</v>
      </c>
      <c r="T71" s="275"/>
      <c r="U71" s="276">
        <f>SUM(N71:T71)</f>
        <v>4.1727606731732356E-2</v>
      </c>
      <c r="W71" s="208" t="s">
        <v>1582</v>
      </c>
      <c r="X71" s="259">
        <f t="shared" ref="X71:AE71" si="31">C71-N71</f>
        <v>-3.4194222667821919E-4</v>
      </c>
      <c r="Y71" s="259">
        <f t="shared" si="31"/>
        <v>-1.2551133744807181E-3</v>
      </c>
      <c r="Z71" s="259">
        <f t="shared" si="31"/>
        <v>0</v>
      </c>
      <c r="AA71" s="259">
        <f t="shared" si="31"/>
        <v>-1.0454358579859123E-3</v>
      </c>
      <c r="AB71" s="259">
        <f t="shared" si="31"/>
        <v>0</v>
      </c>
      <c r="AC71" s="259">
        <f t="shared" si="31"/>
        <v>0</v>
      </c>
      <c r="AD71" s="259">
        <f t="shared" si="31"/>
        <v>0</v>
      </c>
      <c r="AE71" s="259">
        <f t="shared" si="31"/>
        <v>-2.642491459144844E-3</v>
      </c>
    </row>
    <row r="72" spans="2:31" ht="7.5" customHeight="1" x14ac:dyDescent="0.25">
      <c r="B72" s="230"/>
      <c r="C72" s="261"/>
      <c r="D72" s="261"/>
      <c r="E72" s="261"/>
      <c r="F72" s="261"/>
      <c r="G72" s="261"/>
      <c r="H72" s="261"/>
      <c r="I72" s="261"/>
      <c r="J72" s="254"/>
      <c r="K72" s="265"/>
      <c r="L72" s="266"/>
      <c r="M72" s="230"/>
      <c r="N72" s="262"/>
      <c r="O72" s="262"/>
      <c r="P72" s="262"/>
      <c r="Q72" s="262"/>
      <c r="R72" s="262"/>
      <c r="S72" s="262"/>
      <c r="T72" s="262"/>
      <c r="U72" s="239"/>
      <c r="W72" s="216"/>
      <c r="X72" s="262"/>
      <c r="Y72" s="262"/>
      <c r="Z72" s="262"/>
      <c r="AA72" s="262"/>
      <c r="AB72" s="262"/>
      <c r="AC72" s="262"/>
      <c r="AD72" s="262"/>
      <c r="AE72" s="239"/>
    </row>
    <row r="73" spans="2:31" ht="15.75" customHeight="1" x14ac:dyDescent="0.25">
      <c r="B73" s="231" t="s">
        <v>1584</v>
      </c>
      <c r="C73" s="273">
        <f>C33/$J$41</f>
        <v>1.2936496821728618E-2</v>
      </c>
      <c r="D73" s="273">
        <f t="shared" ref="D73:I73" si="32">D33/$J$41</f>
        <v>0</v>
      </c>
      <c r="E73" s="273">
        <f t="shared" si="32"/>
        <v>0</v>
      </c>
      <c r="F73" s="273">
        <f t="shared" si="32"/>
        <v>6.5769878062150317E-3</v>
      </c>
      <c r="G73" s="273">
        <f t="shared" si="32"/>
        <v>0</v>
      </c>
      <c r="H73" s="273">
        <f t="shared" si="32"/>
        <v>5.4479600812383537E-3</v>
      </c>
      <c r="I73" s="273">
        <f t="shared" si="32"/>
        <v>0</v>
      </c>
      <c r="J73" s="274">
        <f>SUM(C73:I73)</f>
        <v>2.4961444709182004E-2</v>
      </c>
      <c r="K73" s="265"/>
      <c r="L73" s="266"/>
      <c r="M73" s="231" t="s">
        <v>1584</v>
      </c>
      <c r="N73" s="275">
        <v>6.5097092527211546E-3</v>
      </c>
      <c r="O73" s="275">
        <v>3.3968954864381454E-3</v>
      </c>
      <c r="P73" s="275"/>
      <c r="Q73" s="275">
        <v>4.0461100357887126E-3</v>
      </c>
      <c r="R73" s="275">
        <v>3.8876333643351802E-3</v>
      </c>
      <c r="S73" s="275">
        <v>0</v>
      </c>
      <c r="T73" s="275"/>
      <c r="U73" s="276">
        <f>SUM(N73:T73)</f>
        <v>1.7840348139283192E-2</v>
      </c>
      <c r="W73" s="208" t="s">
        <v>1584</v>
      </c>
      <c r="X73" s="259">
        <f t="shared" ref="X73:AE73" si="33">C73-N73</f>
        <v>6.4267875690074633E-3</v>
      </c>
      <c r="Y73" s="259">
        <f t="shared" si="33"/>
        <v>-3.3968954864381454E-3</v>
      </c>
      <c r="Z73" s="259">
        <f t="shared" si="33"/>
        <v>0</v>
      </c>
      <c r="AA73" s="259">
        <f t="shared" si="33"/>
        <v>2.530877770426319E-3</v>
      </c>
      <c r="AB73" s="259">
        <f t="shared" si="33"/>
        <v>-3.8876333643351802E-3</v>
      </c>
      <c r="AC73" s="259">
        <f t="shared" si="33"/>
        <v>5.4479600812383537E-3</v>
      </c>
      <c r="AD73" s="259">
        <f t="shared" si="33"/>
        <v>0</v>
      </c>
      <c r="AE73" s="259">
        <f t="shared" si="33"/>
        <v>7.1210965698988125E-3</v>
      </c>
    </row>
    <row r="74" spans="2:31" ht="7.5" customHeight="1" x14ac:dyDescent="0.25">
      <c r="B74" s="230"/>
      <c r="C74" s="261"/>
      <c r="D74" s="261"/>
      <c r="E74" s="261"/>
      <c r="F74" s="261"/>
      <c r="G74" s="261"/>
      <c r="H74" s="261"/>
      <c r="I74" s="271"/>
      <c r="J74" s="254"/>
      <c r="K74" s="265"/>
      <c r="L74" s="266"/>
      <c r="M74" s="230"/>
      <c r="N74" s="262"/>
      <c r="O74" s="262"/>
      <c r="P74" s="262"/>
      <c r="Q74" s="262"/>
      <c r="R74" s="262"/>
      <c r="S74" s="262"/>
      <c r="T74" s="272"/>
      <c r="U74" s="239"/>
      <c r="W74" s="216"/>
      <c r="X74" s="262"/>
      <c r="Y74" s="262"/>
      <c r="Z74" s="262"/>
      <c r="AA74" s="262"/>
      <c r="AB74" s="262"/>
      <c r="AC74" s="262"/>
      <c r="AD74" s="272"/>
      <c r="AE74" s="239"/>
    </row>
    <row r="75" spans="2:31" x14ac:dyDescent="0.25">
      <c r="B75" s="208" t="s">
        <v>1586</v>
      </c>
      <c r="C75" s="277">
        <f>C35/$J$41</f>
        <v>0</v>
      </c>
      <c r="D75" s="277">
        <f t="shared" ref="D75:I75" si="34">D35/$J$41</f>
        <v>0</v>
      </c>
      <c r="E75" s="277">
        <f t="shared" si="34"/>
        <v>0</v>
      </c>
      <c r="F75" s="277">
        <f t="shared" si="34"/>
        <v>0</v>
      </c>
      <c r="G75" s="277">
        <f t="shared" si="34"/>
        <v>0</v>
      </c>
      <c r="H75" s="277">
        <f t="shared" si="34"/>
        <v>1.7602429814466006E-3</v>
      </c>
      <c r="I75" s="277">
        <f t="shared" si="34"/>
        <v>0</v>
      </c>
      <c r="J75" s="278">
        <f>SUM(C75:I75)</f>
        <v>1.7602429814466006E-3</v>
      </c>
      <c r="K75" s="265"/>
      <c r="L75" s="266"/>
      <c r="M75" s="208" t="s">
        <v>1586</v>
      </c>
      <c r="N75" s="259">
        <v>0</v>
      </c>
      <c r="O75" s="259">
        <v>0</v>
      </c>
      <c r="P75" s="259"/>
      <c r="Q75" s="259">
        <v>7.658866437423556E-2</v>
      </c>
      <c r="R75" s="259">
        <v>0</v>
      </c>
      <c r="S75" s="259">
        <v>6.0861565020382306E-2</v>
      </c>
      <c r="T75" s="259"/>
      <c r="U75" s="260">
        <f>SUM(N75:T75)</f>
        <v>0.13745022939461787</v>
      </c>
      <c r="W75" s="208" t="s">
        <v>1586</v>
      </c>
      <c r="X75" s="259">
        <f t="shared" ref="X75:AE75" si="35">C75-N75</f>
        <v>0</v>
      </c>
      <c r="Y75" s="259">
        <f t="shared" si="35"/>
        <v>0</v>
      </c>
      <c r="Z75" s="259">
        <f t="shared" si="35"/>
        <v>0</v>
      </c>
      <c r="AA75" s="259">
        <f t="shared" si="35"/>
        <v>-7.658866437423556E-2</v>
      </c>
      <c r="AB75" s="259">
        <f t="shared" si="35"/>
        <v>0</v>
      </c>
      <c r="AC75" s="259">
        <f t="shared" si="35"/>
        <v>-5.9101322038935707E-2</v>
      </c>
      <c r="AD75" s="259">
        <f t="shared" si="35"/>
        <v>0</v>
      </c>
      <c r="AE75" s="259">
        <f t="shared" si="35"/>
        <v>-0.13568998641317126</v>
      </c>
    </row>
    <row r="76" spans="2:31" ht="7.5" customHeight="1" x14ac:dyDescent="0.25">
      <c r="B76" s="230"/>
      <c r="C76" s="279"/>
      <c r="D76" s="279"/>
      <c r="E76" s="279"/>
      <c r="F76" s="279"/>
      <c r="G76" s="279"/>
      <c r="H76" s="279"/>
      <c r="I76" s="279"/>
      <c r="J76" s="236"/>
      <c r="K76" s="265"/>
      <c r="L76" s="266"/>
      <c r="M76" s="230"/>
      <c r="N76" s="262"/>
      <c r="O76" s="262"/>
      <c r="P76" s="262"/>
      <c r="Q76" s="262"/>
      <c r="R76" s="262"/>
      <c r="S76" s="262"/>
      <c r="T76" s="262"/>
      <c r="U76" s="239"/>
      <c r="W76" s="216"/>
      <c r="X76" s="262"/>
      <c r="Y76" s="262"/>
      <c r="Z76" s="262"/>
      <c r="AA76" s="262"/>
      <c r="AB76" s="262"/>
      <c r="AC76" s="262"/>
      <c r="AD76" s="262"/>
      <c r="AE76" s="239"/>
    </row>
    <row r="77" spans="2:31" x14ac:dyDescent="0.25">
      <c r="B77" s="231" t="s">
        <v>1587</v>
      </c>
      <c r="C77" s="280">
        <f>C37/$J$41</f>
        <v>3.0934353390784354E-2</v>
      </c>
      <c r="D77" s="280">
        <f t="shared" ref="D77:I77" si="36">D37/$J$41</f>
        <v>0</v>
      </c>
      <c r="E77" s="280">
        <f t="shared" si="36"/>
        <v>0</v>
      </c>
      <c r="F77" s="280">
        <f t="shared" si="36"/>
        <v>2.0927894257320775E-2</v>
      </c>
      <c r="G77" s="280">
        <f t="shared" si="36"/>
        <v>0</v>
      </c>
      <c r="H77" s="280">
        <f t="shared" si="36"/>
        <v>2.6781788418875282E-3</v>
      </c>
      <c r="I77" s="280">
        <f t="shared" si="36"/>
        <v>0</v>
      </c>
      <c r="J77" s="281">
        <f>SUM(C77:I77)</f>
        <v>5.4540426489992654E-2</v>
      </c>
      <c r="K77" s="265"/>
      <c r="L77" s="266"/>
      <c r="M77" s="231" t="s">
        <v>1587</v>
      </c>
      <c r="N77" s="275">
        <v>2.6688695517298123E-2</v>
      </c>
      <c r="O77" s="275">
        <v>3.313037961315957E-3</v>
      </c>
      <c r="P77" s="275"/>
      <c r="Q77" s="275">
        <v>1.9573488227449688E-2</v>
      </c>
      <c r="R77" s="275">
        <v>2.3789996837313447E-3</v>
      </c>
      <c r="S77" s="275">
        <v>0</v>
      </c>
      <c r="T77" s="275"/>
      <c r="U77" s="276">
        <f>SUM(N77:T77)</f>
        <v>5.1954221389795108E-2</v>
      </c>
      <c r="W77" s="208" t="s">
        <v>1587</v>
      </c>
      <c r="X77" s="259">
        <f t="shared" ref="X77:AE77" si="37">C77-N77</f>
        <v>4.2456578734862312E-3</v>
      </c>
      <c r="Y77" s="259">
        <f t="shared" si="37"/>
        <v>-3.313037961315957E-3</v>
      </c>
      <c r="Z77" s="259">
        <f t="shared" si="37"/>
        <v>0</v>
      </c>
      <c r="AA77" s="259">
        <f t="shared" si="37"/>
        <v>1.3544060298710872E-3</v>
      </c>
      <c r="AB77" s="259">
        <f t="shared" si="37"/>
        <v>-2.3789996837313447E-3</v>
      </c>
      <c r="AC77" s="259">
        <f t="shared" si="37"/>
        <v>2.6781788418875282E-3</v>
      </c>
      <c r="AD77" s="259">
        <f t="shared" si="37"/>
        <v>0</v>
      </c>
      <c r="AE77" s="259">
        <f t="shared" si="37"/>
        <v>2.5862051001975458E-3</v>
      </c>
    </row>
    <row r="78" spans="2:31" ht="7.5" customHeight="1" x14ac:dyDescent="0.25">
      <c r="B78" s="216"/>
      <c r="C78" s="261"/>
      <c r="D78" s="261"/>
      <c r="E78" s="261"/>
      <c r="F78" s="261"/>
      <c r="G78" s="261"/>
      <c r="H78" s="261"/>
      <c r="I78" s="261"/>
      <c r="J78" s="254"/>
      <c r="K78" s="265"/>
      <c r="L78" s="266"/>
      <c r="M78" s="216"/>
      <c r="N78" s="262"/>
      <c r="O78" s="262"/>
      <c r="P78" s="262"/>
      <c r="Q78" s="262"/>
      <c r="R78" s="262"/>
      <c r="S78" s="262"/>
      <c r="T78" s="262"/>
      <c r="U78" s="239"/>
      <c r="W78" s="216"/>
      <c r="X78" s="262"/>
      <c r="Y78" s="262"/>
      <c r="Z78" s="262"/>
      <c r="AA78" s="262"/>
      <c r="AB78" s="262"/>
      <c r="AC78" s="262"/>
      <c r="AD78" s="262"/>
      <c r="AE78" s="239"/>
    </row>
    <row r="79" spans="2:31" x14ac:dyDescent="0.25">
      <c r="B79" s="208" t="s">
        <v>1567</v>
      </c>
      <c r="C79" s="256">
        <f>C39/$J$41</f>
        <v>0</v>
      </c>
      <c r="D79" s="256">
        <f t="shared" ref="D79:I79" si="38">D39/$J$41</f>
        <v>0</v>
      </c>
      <c r="E79" s="256">
        <f t="shared" si="38"/>
        <v>0</v>
      </c>
      <c r="F79" s="256">
        <f t="shared" si="38"/>
        <v>0</v>
      </c>
      <c r="G79" s="256">
        <f t="shared" si="38"/>
        <v>0</v>
      </c>
      <c r="H79" s="256">
        <f t="shared" si="38"/>
        <v>0</v>
      </c>
      <c r="I79" s="256">
        <f t="shared" si="38"/>
        <v>3.2855678608429317E-3</v>
      </c>
      <c r="J79" s="257">
        <f>SUM(C79:I79)</f>
        <v>3.2855678608429317E-3</v>
      </c>
      <c r="K79" s="265"/>
      <c r="L79" s="266"/>
      <c r="M79" s="208" t="s">
        <v>1567</v>
      </c>
      <c r="N79" s="259">
        <v>0</v>
      </c>
      <c r="O79" s="259">
        <v>0</v>
      </c>
      <c r="P79" s="259"/>
      <c r="Q79" s="259">
        <v>0</v>
      </c>
      <c r="R79" s="259">
        <v>6.7095648937400641E-3</v>
      </c>
      <c r="S79" s="259">
        <v>0</v>
      </c>
      <c r="T79" s="259"/>
      <c r="U79" s="260">
        <f>SUM(N79:T79)</f>
        <v>6.7095648937400641E-3</v>
      </c>
      <c r="W79" s="208" t="s">
        <v>1567</v>
      </c>
      <c r="X79" s="259">
        <f t="shared" ref="X79:AE79" si="39">C79-N79</f>
        <v>0</v>
      </c>
      <c r="Y79" s="259">
        <f t="shared" si="39"/>
        <v>0</v>
      </c>
      <c r="Z79" s="259">
        <f t="shared" si="39"/>
        <v>0</v>
      </c>
      <c r="AA79" s="259">
        <f t="shared" si="39"/>
        <v>0</v>
      </c>
      <c r="AB79" s="259">
        <f t="shared" si="39"/>
        <v>-6.7095648937400641E-3</v>
      </c>
      <c r="AC79" s="259">
        <f t="shared" si="39"/>
        <v>0</v>
      </c>
      <c r="AD79" s="259">
        <f t="shared" si="39"/>
        <v>3.2855678608429317E-3</v>
      </c>
      <c r="AE79" s="259">
        <f t="shared" si="39"/>
        <v>-3.4239970328971323E-3</v>
      </c>
    </row>
    <row r="80" spans="2:31" ht="7.5" customHeight="1" x14ac:dyDescent="0.25">
      <c r="B80" s="216"/>
      <c r="C80" s="241"/>
      <c r="D80" s="241"/>
      <c r="E80" s="241"/>
      <c r="F80" s="241"/>
      <c r="G80" s="241"/>
      <c r="H80" s="241"/>
      <c r="I80" s="241"/>
      <c r="J80" s="239"/>
      <c r="K80" s="265"/>
      <c r="L80" s="266"/>
      <c r="M80" s="216"/>
      <c r="N80" s="241"/>
      <c r="O80" s="241"/>
      <c r="P80" s="241"/>
      <c r="Q80" s="241"/>
      <c r="R80" s="241"/>
      <c r="S80" s="241"/>
      <c r="T80" s="241"/>
      <c r="U80" s="239"/>
      <c r="W80" s="216"/>
      <c r="X80" s="282"/>
      <c r="Y80" s="282"/>
      <c r="Z80" s="282"/>
      <c r="AA80" s="282"/>
      <c r="AB80" s="282"/>
      <c r="AC80" s="282"/>
      <c r="AD80" s="282"/>
      <c r="AE80" s="283"/>
    </row>
    <row r="81" spans="1:31" ht="16.5" thickBot="1" x14ac:dyDescent="0.3">
      <c r="B81" s="237" t="s">
        <v>541</v>
      </c>
      <c r="C81" s="284">
        <f>SUM(C47:C79)</f>
        <v>0.469253524792969</v>
      </c>
      <c r="D81" s="284">
        <f t="shared" ref="D81:J81" si="40">SUM(D47:D79)</f>
        <v>0</v>
      </c>
      <c r="E81" s="284">
        <f t="shared" si="40"/>
        <v>1.9993501825194451E-2</v>
      </c>
      <c r="F81" s="284">
        <f t="shared" si="40"/>
        <v>0.20022587183900264</v>
      </c>
      <c r="G81" s="284">
        <f t="shared" si="40"/>
        <v>0</v>
      </c>
      <c r="H81" s="284">
        <f t="shared" si="40"/>
        <v>0.30712215181386254</v>
      </c>
      <c r="I81" s="284">
        <f t="shared" si="40"/>
        <v>3.4049497289714852E-3</v>
      </c>
      <c r="J81" s="284">
        <f t="shared" si="40"/>
        <v>1.0000000000000002</v>
      </c>
      <c r="K81" s="265"/>
      <c r="L81" s="266"/>
      <c r="M81" s="237" t="s">
        <v>541</v>
      </c>
      <c r="N81" s="285">
        <f>SUM(N47:N79)</f>
        <v>0.34487540995947996</v>
      </c>
      <c r="O81" s="285">
        <f t="shared" ref="O81:U81" si="41">SUM(O47:O79)</f>
        <v>0.14815385275603876</v>
      </c>
      <c r="P81" s="285">
        <f t="shared" si="41"/>
        <v>0</v>
      </c>
      <c r="Q81" s="285">
        <f t="shared" si="41"/>
        <v>0.26717199988538842</v>
      </c>
      <c r="R81" s="285">
        <f t="shared" si="41"/>
        <v>1.2976197941806589E-2</v>
      </c>
      <c r="S81" s="285">
        <f t="shared" si="41"/>
        <v>0.22682253945728639</v>
      </c>
      <c r="T81" s="285">
        <f t="shared" si="41"/>
        <v>0</v>
      </c>
      <c r="U81" s="285">
        <f t="shared" si="41"/>
        <v>1</v>
      </c>
      <c r="W81" s="237" t="s">
        <v>541</v>
      </c>
      <c r="X81" s="285">
        <f>SUM(X47:X79)</f>
        <v>0.124378114833489</v>
      </c>
      <c r="Y81" s="285">
        <f t="shared" ref="Y81:AE81" si="42">SUM(Y47:Y79)</f>
        <v>-0.14815385275603876</v>
      </c>
      <c r="Z81" s="285">
        <f t="shared" si="42"/>
        <v>1.9993501825194451E-2</v>
      </c>
      <c r="AA81" s="285">
        <f t="shared" si="42"/>
        <v>-6.6946128046385778E-2</v>
      </c>
      <c r="AB81" s="285">
        <f t="shared" si="42"/>
        <v>-1.2976197941806589E-2</v>
      </c>
      <c r="AC81" s="285">
        <f t="shared" si="42"/>
        <v>8.0299612356576122E-2</v>
      </c>
      <c r="AD81" s="285">
        <f t="shared" si="42"/>
        <v>3.4049497289714852E-3</v>
      </c>
      <c r="AE81" s="285">
        <f t="shared" si="42"/>
        <v>-1.0885389811754465E-16</v>
      </c>
    </row>
    <row r="82" spans="1:31" x14ac:dyDescent="0.25">
      <c r="B82" s="286"/>
      <c r="C82" s="241"/>
      <c r="D82" s="241"/>
      <c r="E82" s="220"/>
      <c r="F82" s="220"/>
      <c r="G82" s="220"/>
      <c r="H82" s="287"/>
      <c r="I82" s="241"/>
      <c r="J82" s="241"/>
      <c r="K82" s="265"/>
      <c r="L82" s="266"/>
    </row>
    <row r="83" spans="1:31" x14ac:dyDescent="0.25">
      <c r="B83" s="286"/>
      <c r="C83" s="288"/>
      <c r="D83" s="241"/>
      <c r="E83" s="220"/>
      <c r="F83" s="220"/>
      <c r="G83" s="220"/>
      <c r="H83" s="241"/>
      <c r="I83" s="241"/>
      <c r="J83" s="241"/>
      <c r="K83" s="265"/>
      <c r="L83" s="266"/>
    </row>
    <row r="84" spans="1:31" x14ac:dyDescent="0.25">
      <c r="B84" s="286"/>
      <c r="C84" s="241"/>
      <c r="D84" s="241"/>
      <c r="E84" s="220"/>
      <c r="F84" s="220"/>
      <c r="G84" s="220"/>
      <c r="H84" s="287"/>
      <c r="I84" s="241"/>
      <c r="J84" s="241"/>
      <c r="K84" s="265"/>
      <c r="L84" s="266"/>
    </row>
    <row r="85" spans="1:31" x14ac:dyDescent="0.25">
      <c r="B85" s="286"/>
      <c r="C85" s="241"/>
      <c r="D85" s="241"/>
      <c r="E85" s="220"/>
      <c r="F85" s="220"/>
      <c r="G85" s="220"/>
      <c r="H85" s="241"/>
      <c r="I85" s="241"/>
      <c r="J85" s="241"/>
      <c r="K85" s="265"/>
      <c r="L85" s="266"/>
    </row>
    <row r="86" spans="1:31" x14ac:dyDescent="0.25">
      <c r="B86" s="286"/>
      <c r="C86" s="289"/>
      <c r="D86" s="289"/>
      <c r="E86" s="266"/>
      <c r="F86" s="266"/>
      <c r="H86" s="234"/>
      <c r="I86" s="289"/>
      <c r="J86" s="289"/>
      <c r="K86" s="290"/>
      <c r="L86" s="266"/>
    </row>
    <row r="87" spans="1:31" x14ac:dyDescent="0.25">
      <c r="B87" s="291"/>
      <c r="C87" s="292"/>
      <c r="D87" s="292"/>
      <c r="E87" s="292"/>
      <c r="F87" s="292"/>
      <c r="H87" s="203"/>
      <c r="I87" s="292"/>
      <c r="J87" s="292"/>
      <c r="K87" s="293"/>
      <c r="L87" s="292"/>
    </row>
    <row r="88" spans="1:31" x14ac:dyDescent="0.25">
      <c r="B88" s="294"/>
      <c r="C88" s="254"/>
      <c r="D88" s="254"/>
      <c r="E88" s="254"/>
      <c r="F88" s="254"/>
      <c r="H88" s="203"/>
      <c r="I88" s="254"/>
      <c r="J88" s="254"/>
      <c r="K88" s="253"/>
      <c r="L88" s="254"/>
    </row>
    <row r="89" spans="1:31" x14ac:dyDescent="0.25">
      <c r="B89" s="294"/>
      <c r="C89" s="254"/>
      <c r="D89" s="254"/>
      <c r="E89" s="254"/>
      <c r="F89" s="254"/>
      <c r="I89" s="254"/>
      <c r="J89" s="254"/>
      <c r="K89" s="253"/>
      <c r="L89" s="254"/>
    </row>
    <row r="92" spans="1:31" x14ac:dyDescent="0.25">
      <c r="H92" s="203"/>
      <c r="I92" s="295"/>
      <c r="J92" s="295"/>
      <c r="K92" s="296"/>
      <c r="L92" s="295"/>
    </row>
    <row r="93" spans="1:31" x14ac:dyDescent="0.25">
      <c r="A93" s="203"/>
      <c r="H93" s="207"/>
    </row>
    <row r="94" spans="1:31" x14ac:dyDescent="0.25">
      <c r="A94" s="207"/>
      <c r="B94" s="297"/>
      <c r="C94" s="212"/>
      <c r="D94" s="212"/>
      <c r="E94" s="212"/>
      <c r="F94" s="212"/>
      <c r="H94" s="207"/>
      <c r="I94" s="212"/>
      <c r="J94" s="212"/>
      <c r="K94" s="211"/>
      <c r="L94" s="212"/>
    </row>
    <row r="95" spans="1:31" x14ac:dyDescent="0.25">
      <c r="A95" s="207"/>
      <c r="B95" s="230"/>
      <c r="C95" s="212"/>
      <c r="D95" s="212"/>
      <c r="E95" s="219"/>
      <c r="F95" s="219"/>
      <c r="H95" s="298"/>
      <c r="I95" s="212"/>
      <c r="J95" s="299"/>
      <c r="K95" s="211"/>
      <c r="L95" s="219"/>
    </row>
    <row r="96" spans="1:31" x14ac:dyDescent="0.25">
      <c r="A96" s="298"/>
      <c r="B96" s="286"/>
      <c r="C96" s="289"/>
      <c r="D96" s="289"/>
      <c r="E96" s="289"/>
      <c r="F96" s="266"/>
      <c r="H96" s="298"/>
      <c r="I96" s="289"/>
      <c r="J96" s="289"/>
      <c r="K96" s="290"/>
      <c r="L96" s="266"/>
    </row>
    <row r="97" spans="1:12" x14ac:dyDescent="0.25">
      <c r="A97" s="298"/>
      <c r="B97" s="286"/>
      <c r="C97" s="289"/>
      <c r="D97" s="289"/>
      <c r="E97" s="266"/>
      <c r="F97" s="266"/>
      <c r="H97" s="221"/>
      <c r="I97" s="289"/>
      <c r="J97" s="289"/>
      <c r="K97" s="290"/>
      <c r="L97" s="266"/>
    </row>
    <row r="98" spans="1:12" x14ac:dyDescent="0.25">
      <c r="A98" s="221"/>
      <c r="B98" s="286"/>
      <c r="C98" s="289"/>
      <c r="D98" s="289"/>
      <c r="E98" s="289"/>
      <c r="F98" s="266"/>
      <c r="H98" s="298"/>
      <c r="I98" s="289"/>
      <c r="J98" s="289"/>
      <c r="K98" s="290"/>
      <c r="L98" s="266"/>
    </row>
    <row r="99" spans="1:12" x14ac:dyDescent="0.25">
      <c r="A99" s="298"/>
      <c r="B99" s="286"/>
      <c r="C99" s="289"/>
      <c r="D99" s="289"/>
      <c r="E99" s="266"/>
      <c r="F99" s="266"/>
      <c r="H99" s="298"/>
      <c r="I99" s="289"/>
      <c r="J99" s="289"/>
      <c r="K99" s="290"/>
      <c r="L99" s="266"/>
    </row>
    <row r="100" spans="1:12" x14ac:dyDescent="0.25">
      <c r="A100" s="298"/>
      <c r="B100" s="286"/>
      <c r="C100" s="289"/>
      <c r="D100" s="289"/>
      <c r="E100" s="289"/>
      <c r="F100" s="266"/>
      <c r="H100" s="300"/>
      <c r="I100" s="289"/>
      <c r="J100" s="289"/>
      <c r="K100" s="290"/>
      <c r="L100" s="266"/>
    </row>
    <row r="101" spans="1:12" x14ac:dyDescent="0.25">
      <c r="A101" s="300"/>
      <c r="B101" s="286"/>
      <c r="C101" s="289"/>
      <c r="D101" s="289"/>
      <c r="E101" s="266"/>
      <c r="F101" s="266"/>
      <c r="H101" s="298"/>
      <c r="I101" s="289"/>
      <c r="J101" s="289"/>
      <c r="K101" s="290"/>
      <c r="L101" s="266"/>
    </row>
    <row r="102" spans="1:12" x14ac:dyDescent="0.25">
      <c r="A102" s="298"/>
      <c r="B102" s="286"/>
      <c r="C102" s="289"/>
      <c r="D102" s="289"/>
      <c r="E102" s="289"/>
      <c r="F102" s="266"/>
      <c r="H102" s="300"/>
      <c r="I102" s="289"/>
      <c r="J102" s="289"/>
      <c r="K102" s="290"/>
      <c r="L102" s="266"/>
    </row>
    <row r="103" spans="1:12" x14ac:dyDescent="0.25">
      <c r="A103" s="300"/>
      <c r="B103" s="286"/>
      <c r="C103" s="289"/>
      <c r="D103" s="289"/>
      <c r="E103" s="266"/>
      <c r="F103" s="266"/>
      <c r="H103" s="221"/>
      <c r="I103" s="289"/>
      <c r="J103" s="289"/>
      <c r="K103" s="290"/>
      <c r="L103" s="266"/>
    </row>
    <row r="104" spans="1:12" x14ac:dyDescent="0.25">
      <c r="A104" s="221"/>
      <c r="B104" s="286"/>
      <c r="C104" s="289"/>
      <c r="D104" s="289"/>
      <c r="E104" s="289"/>
      <c r="F104" s="266"/>
      <c r="H104" s="221"/>
      <c r="I104" s="289"/>
      <c r="J104" s="289"/>
      <c r="K104" s="290"/>
      <c r="L104" s="266"/>
    </row>
    <row r="105" spans="1:12" x14ac:dyDescent="0.25">
      <c r="A105" s="221"/>
      <c r="B105" s="286"/>
      <c r="C105" s="289"/>
      <c r="D105" s="289"/>
      <c r="E105" s="266"/>
      <c r="F105" s="266"/>
      <c r="H105" s="289"/>
      <c r="I105" s="289"/>
      <c r="J105" s="289"/>
      <c r="K105" s="301"/>
    </row>
    <row r="106" spans="1:12" x14ac:dyDescent="0.25">
      <c r="A106" s="300"/>
      <c r="B106" s="286"/>
      <c r="C106" s="289"/>
      <c r="D106" s="289"/>
      <c r="E106" s="266"/>
      <c r="G106" s="300"/>
      <c r="H106" s="289"/>
      <c r="I106" s="289"/>
      <c r="J106" s="289"/>
      <c r="K106" s="290"/>
    </row>
    <row r="107" spans="1:12" x14ac:dyDescent="0.25">
      <c r="A107" s="221"/>
      <c r="B107" s="286"/>
      <c r="C107" s="289"/>
      <c r="D107" s="289"/>
      <c r="E107" s="266"/>
      <c r="F107" s="266"/>
      <c r="H107" s="221"/>
      <c r="I107" s="289"/>
      <c r="J107" s="289"/>
      <c r="K107" s="290"/>
      <c r="L107" s="266"/>
    </row>
    <row r="108" spans="1:12" x14ac:dyDescent="0.25">
      <c r="A108" s="300"/>
      <c r="B108" s="286"/>
      <c r="C108" s="289"/>
      <c r="D108" s="289"/>
      <c r="E108" s="289"/>
      <c r="F108" s="266"/>
      <c r="H108" s="300"/>
      <c r="I108" s="289"/>
      <c r="J108" s="289"/>
      <c r="K108" s="290"/>
      <c r="L108" s="266"/>
    </row>
    <row r="109" spans="1:12" x14ac:dyDescent="0.25">
      <c r="A109" s="221"/>
      <c r="B109" s="286"/>
      <c r="C109" s="289"/>
      <c r="D109" s="289"/>
      <c r="E109" s="266"/>
      <c r="F109" s="266"/>
      <c r="H109" s="221"/>
      <c r="I109" s="289"/>
      <c r="J109" s="289"/>
      <c r="K109" s="290"/>
      <c r="L109" s="266"/>
    </row>
    <row r="110" spans="1:12" x14ac:dyDescent="0.25">
      <c r="A110" s="234"/>
      <c r="B110" s="286"/>
      <c r="C110" s="289"/>
      <c r="D110" s="289"/>
      <c r="E110" s="289"/>
      <c r="F110" s="266"/>
      <c r="H110" s="234"/>
      <c r="I110" s="289"/>
      <c r="J110" s="289"/>
      <c r="K110" s="290"/>
      <c r="L110" s="266"/>
    </row>
    <row r="111" spans="1:12" x14ac:dyDescent="0.25">
      <c r="A111" s="221"/>
      <c r="B111" s="286"/>
      <c r="C111" s="289"/>
      <c r="D111" s="289"/>
      <c r="E111" s="266"/>
      <c r="F111" s="266"/>
      <c r="H111" s="221"/>
      <c r="I111" s="289"/>
      <c r="J111" s="289"/>
      <c r="K111" s="290"/>
      <c r="L111" s="266"/>
    </row>
    <row r="112" spans="1:12" x14ac:dyDescent="0.25">
      <c r="A112" s="221"/>
      <c r="B112" s="286"/>
      <c r="C112" s="289"/>
      <c r="D112" s="289"/>
      <c r="E112" s="289"/>
      <c r="F112" s="266"/>
      <c r="H112" s="221"/>
      <c r="I112" s="289"/>
      <c r="J112" s="289"/>
      <c r="K112" s="290"/>
      <c r="L112" s="266"/>
    </row>
    <row r="113" spans="1:12" x14ac:dyDescent="0.25">
      <c r="A113" s="221"/>
      <c r="B113" s="286"/>
      <c r="C113" s="289"/>
      <c r="D113" s="289"/>
      <c r="E113" s="266"/>
      <c r="F113" s="266"/>
      <c r="H113" s="221"/>
      <c r="I113" s="266"/>
      <c r="J113" s="266"/>
      <c r="K113" s="290"/>
      <c r="L113" s="266"/>
    </row>
    <row r="114" spans="1:12" x14ac:dyDescent="0.25">
      <c r="A114" s="221"/>
      <c r="B114" s="286"/>
      <c r="C114" s="289"/>
      <c r="D114" s="289"/>
      <c r="E114" s="289"/>
      <c r="F114" s="266"/>
      <c r="H114" s="221"/>
      <c r="I114" s="289"/>
      <c r="J114" s="289"/>
      <c r="K114" s="290"/>
      <c r="L114" s="266"/>
    </row>
    <row r="115" spans="1:12" x14ac:dyDescent="0.25">
      <c r="A115" s="221"/>
      <c r="B115" s="286"/>
      <c r="C115" s="289"/>
      <c r="D115" s="289"/>
      <c r="E115" s="266"/>
      <c r="F115" s="266"/>
      <c r="H115" s="221"/>
      <c r="I115" s="266"/>
      <c r="J115" s="266"/>
      <c r="K115" s="290"/>
      <c r="L115" s="266"/>
    </row>
    <row r="116" spans="1:12" x14ac:dyDescent="0.25">
      <c r="A116" s="221"/>
      <c r="B116" s="286"/>
      <c r="C116" s="289"/>
      <c r="D116" s="289"/>
      <c r="E116" s="289"/>
      <c r="F116" s="266"/>
      <c r="H116" s="221"/>
      <c r="I116" s="289"/>
      <c r="J116" s="289"/>
      <c r="K116" s="290"/>
      <c r="L116" s="266"/>
    </row>
    <row r="117" spans="1:12" x14ac:dyDescent="0.25">
      <c r="A117" s="221"/>
      <c r="B117" s="286"/>
      <c r="C117" s="289"/>
      <c r="D117" s="289"/>
      <c r="E117" s="266"/>
      <c r="F117" s="266"/>
      <c r="H117" s="221"/>
      <c r="I117" s="266"/>
      <c r="J117" s="266"/>
      <c r="K117" s="290"/>
      <c r="L117" s="266"/>
    </row>
    <row r="118" spans="1:12" x14ac:dyDescent="0.25">
      <c r="A118" s="221"/>
      <c r="B118" s="286"/>
      <c r="C118" s="289"/>
      <c r="D118" s="289"/>
      <c r="E118" s="289"/>
      <c r="F118" s="266"/>
      <c r="H118" s="221"/>
      <c r="I118" s="289"/>
      <c r="J118" s="289"/>
      <c r="K118" s="290"/>
      <c r="L118" s="266"/>
    </row>
    <row r="119" spans="1:12" x14ac:dyDescent="0.25">
      <c r="A119" s="221"/>
      <c r="B119" s="286"/>
      <c r="C119" s="289"/>
      <c r="D119" s="289"/>
      <c r="E119" s="266"/>
      <c r="F119" s="266"/>
      <c r="H119" s="221"/>
      <c r="I119" s="266"/>
      <c r="J119" s="266"/>
      <c r="K119" s="290"/>
      <c r="L119" s="266"/>
    </row>
    <row r="120" spans="1:12" x14ac:dyDescent="0.25">
      <c r="A120" s="234"/>
      <c r="B120" s="286"/>
      <c r="C120" s="289"/>
      <c r="D120" s="289"/>
      <c r="E120" s="289"/>
      <c r="F120" s="266"/>
      <c r="H120" s="234"/>
      <c r="I120" s="289"/>
      <c r="J120" s="289"/>
      <c r="K120" s="290"/>
      <c r="L120" s="266"/>
    </row>
    <row r="121" spans="1:12" x14ac:dyDescent="0.25">
      <c r="A121" s="221"/>
      <c r="B121" s="286"/>
      <c r="C121" s="289"/>
      <c r="D121" s="289"/>
      <c r="E121" s="266"/>
      <c r="F121" s="266"/>
      <c r="H121" s="221"/>
      <c r="I121" s="289"/>
      <c r="J121" s="289"/>
      <c r="K121" s="290"/>
      <c r="L121" s="266"/>
    </row>
    <row r="122" spans="1:12" x14ac:dyDescent="0.25">
      <c r="A122" s="221"/>
      <c r="B122" s="286"/>
      <c r="C122" s="289"/>
      <c r="D122" s="289"/>
      <c r="E122" s="289"/>
      <c r="F122" s="266"/>
      <c r="H122" s="221"/>
      <c r="I122" s="289"/>
      <c r="J122" s="289"/>
      <c r="K122" s="290"/>
      <c r="L122" s="266"/>
    </row>
    <row r="123" spans="1:12" x14ac:dyDescent="0.25">
      <c r="A123" s="221"/>
      <c r="B123" s="286"/>
      <c r="C123" s="289"/>
      <c r="D123" s="289"/>
      <c r="E123" s="266"/>
      <c r="F123" s="266"/>
      <c r="H123" s="221"/>
      <c r="I123" s="289"/>
      <c r="J123" s="289"/>
      <c r="K123" s="290"/>
      <c r="L123" s="266"/>
    </row>
    <row r="124" spans="1:12" x14ac:dyDescent="0.25">
      <c r="A124" s="234"/>
      <c r="B124" s="286"/>
      <c r="C124" s="289"/>
      <c r="D124" s="289"/>
      <c r="E124" s="289"/>
      <c r="F124" s="266"/>
      <c r="H124" s="234"/>
      <c r="I124" s="289"/>
      <c r="J124" s="289"/>
      <c r="K124" s="290"/>
      <c r="L124" s="266"/>
    </row>
    <row r="125" spans="1:12" x14ac:dyDescent="0.25">
      <c r="A125" s="221"/>
      <c r="B125" s="286"/>
      <c r="C125" s="289"/>
      <c r="D125" s="289"/>
      <c r="E125" s="266"/>
      <c r="F125" s="266"/>
      <c r="H125" s="221"/>
      <c r="I125" s="289"/>
      <c r="J125" s="289"/>
      <c r="K125" s="290"/>
      <c r="L125" s="266"/>
    </row>
    <row r="126" spans="1:12" x14ac:dyDescent="0.25">
      <c r="A126" s="234"/>
      <c r="B126" s="286"/>
      <c r="C126" s="289"/>
      <c r="D126" s="289"/>
      <c r="E126" s="289"/>
      <c r="F126" s="266"/>
      <c r="H126" s="234"/>
      <c r="I126" s="289"/>
      <c r="J126" s="289"/>
      <c r="K126" s="290"/>
      <c r="L126" s="266"/>
    </row>
    <row r="127" spans="1:12" x14ac:dyDescent="0.25">
      <c r="A127" s="234"/>
      <c r="B127" s="286"/>
      <c r="C127" s="289"/>
      <c r="D127" s="289"/>
      <c r="E127" s="266"/>
      <c r="F127" s="266"/>
      <c r="H127" s="234"/>
      <c r="I127" s="289"/>
      <c r="J127" s="289"/>
      <c r="K127" s="290"/>
      <c r="L127" s="266"/>
    </row>
    <row r="128" spans="1:12" x14ac:dyDescent="0.25">
      <c r="A128" s="203"/>
      <c r="B128" s="291"/>
      <c r="C128" s="292"/>
      <c r="D128" s="292"/>
      <c r="E128" s="292"/>
      <c r="F128" s="292"/>
      <c r="H128" s="203"/>
      <c r="I128" s="292"/>
      <c r="J128" s="292"/>
      <c r="K128" s="293"/>
      <c r="L128" s="292"/>
    </row>
    <row r="129" spans="1:12" x14ac:dyDescent="0.25">
      <c r="A129" s="203"/>
      <c r="B129" s="294"/>
      <c r="C129" s="254"/>
      <c r="D129" s="254"/>
      <c r="E129" s="254"/>
      <c r="F129" s="254"/>
      <c r="H129" s="203"/>
      <c r="I129" s="254"/>
      <c r="J129" s="254"/>
      <c r="K129" s="253"/>
      <c r="L129" s="254"/>
    </row>
    <row r="130" spans="1:12" x14ac:dyDescent="0.25">
      <c r="B130" s="294"/>
      <c r="C130" s="254"/>
      <c r="D130" s="254"/>
      <c r="E130" s="254"/>
      <c r="F130" s="254"/>
      <c r="I130" s="254"/>
      <c r="J130" s="254"/>
      <c r="K130" s="253"/>
      <c r="L130" s="254"/>
    </row>
    <row r="132" spans="1:12" x14ac:dyDescent="0.25">
      <c r="A132" s="203"/>
    </row>
    <row r="133" spans="1:12" x14ac:dyDescent="0.25">
      <c r="A133" s="207"/>
    </row>
    <row r="134" spans="1:12" x14ac:dyDescent="0.25">
      <c r="A134" s="207"/>
    </row>
    <row r="135" spans="1:12" x14ac:dyDescent="0.25">
      <c r="A135" s="298"/>
    </row>
    <row r="136" spans="1:12" x14ac:dyDescent="0.25">
      <c r="A136" s="298"/>
    </row>
    <row r="137" spans="1:12" x14ac:dyDescent="0.25">
      <c r="A137" s="221"/>
    </row>
    <row r="138" spans="1:12" x14ac:dyDescent="0.25">
      <c r="A138" s="298"/>
    </row>
    <row r="139" spans="1:12" x14ac:dyDescent="0.25">
      <c r="A139" s="298"/>
    </row>
    <row r="140" spans="1:12" x14ac:dyDescent="0.25">
      <c r="A140" s="300"/>
    </row>
    <row r="141" spans="1:12" x14ac:dyDescent="0.25">
      <c r="A141" s="298"/>
    </row>
    <row r="142" spans="1:12" x14ac:dyDescent="0.25">
      <c r="A142" s="300"/>
    </row>
    <row r="143" spans="1:12" x14ac:dyDescent="0.25">
      <c r="A143" s="221"/>
    </row>
    <row r="144" spans="1:12" x14ac:dyDescent="0.25">
      <c r="A144" s="221"/>
    </row>
    <row r="145" spans="1:1" x14ac:dyDescent="0.25">
      <c r="A145" s="300"/>
    </row>
    <row r="146" spans="1:1" x14ac:dyDescent="0.25">
      <c r="A146" s="221"/>
    </row>
    <row r="147" spans="1:1" x14ac:dyDescent="0.25">
      <c r="A147" s="300"/>
    </row>
    <row r="148" spans="1:1" x14ac:dyDescent="0.25">
      <c r="A148" s="221"/>
    </row>
    <row r="149" spans="1:1" x14ac:dyDescent="0.25">
      <c r="A149" s="234"/>
    </row>
    <row r="150" spans="1:1" x14ac:dyDescent="0.25">
      <c r="A150" s="221"/>
    </row>
    <row r="151" spans="1:1" x14ac:dyDescent="0.25">
      <c r="A151" s="221"/>
    </row>
    <row r="152" spans="1:1" x14ac:dyDescent="0.25">
      <c r="A152" s="221"/>
    </row>
    <row r="153" spans="1:1" x14ac:dyDescent="0.25">
      <c r="A153" s="221"/>
    </row>
    <row r="154" spans="1:1" x14ac:dyDescent="0.25">
      <c r="A154" s="221"/>
    </row>
    <row r="155" spans="1:1" x14ac:dyDescent="0.25">
      <c r="A155" s="221"/>
    </row>
    <row r="156" spans="1:1" x14ac:dyDescent="0.25">
      <c r="A156" s="221"/>
    </row>
    <row r="157" spans="1:1" x14ac:dyDescent="0.25">
      <c r="A157" s="221"/>
    </row>
    <row r="158" spans="1:1" x14ac:dyDescent="0.25">
      <c r="A158" s="221"/>
    </row>
    <row r="159" spans="1:1" x14ac:dyDescent="0.25">
      <c r="A159" s="234"/>
    </row>
    <row r="160" spans="1:1" x14ac:dyDescent="0.25">
      <c r="A160" s="221"/>
    </row>
    <row r="161" spans="1:1" x14ac:dyDescent="0.25">
      <c r="A161" s="221"/>
    </row>
    <row r="162" spans="1:1" x14ac:dyDescent="0.25">
      <c r="A162" s="221"/>
    </row>
    <row r="163" spans="1:1" x14ac:dyDescent="0.25">
      <c r="A163" s="234"/>
    </row>
    <row r="164" spans="1:1" x14ac:dyDescent="0.25">
      <c r="A164" s="221"/>
    </row>
  </sheetData>
  <mergeCells count="3">
    <mergeCell ref="B44:J44"/>
    <mergeCell ref="M44:U44"/>
    <mergeCell ref="W44:AE44"/>
  </mergeCells>
  <conditionalFormatting sqref="Z47:AE79">
    <cfRule type="cellIs" dxfId="3" priority="3" operator="lessThan">
      <formula>-0.03</formula>
    </cfRule>
    <cfRule type="cellIs" dxfId="2" priority="4" operator="greaterThan">
      <formula>0.03</formula>
    </cfRule>
  </conditionalFormatting>
  <conditionalFormatting sqref="X47:Y79">
    <cfRule type="cellIs" dxfId="1" priority="1" operator="lessThan">
      <formula>-0.03</formula>
    </cfRule>
    <cfRule type="cellIs" dxfId="0" priority="2" operator="greaterThan">
      <formula>0.03</formula>
    </cfRule>
  </conditionalFormatting>
  <hyperlinks>
    <hyperlink ref="N43" r:id="rId1"/>
  </hyperlinks>
  <pageMargins left="0.45" right="0.45" top="0.3" bottom="0.3" header="0.3" footer="0.3"/>
  <pageSetup scale="55" pageOrder="overThenDown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S49"/>
  <sheetViews>
    <sheetView view="pageBreakPreview" zoomScale="60" zoomScaleNormal="85" workbookViewId="0">
      <selection activeCell="A548" activeCellId="1" sqref="A551:G853 A9:O548"/>
    </sheetView>
  </sheetViews>
  <sheetFormatPr defaultRowHeight="15" x14ac:dyDescent="0.25"/>
  <cols>
    <col min="1" max="1" width="9.140625" style="317"/>
    <col min="2" max="2" width="9.140625" style="305"/>
    <col min="3" max="5" width="14.140625" style="306" customWidth="1"/>
    <col min="6" max="6" width="14.140625" style="307" customWidth="1"/>
    <col min="7" max="7" width="4.28515625" style="308" customWidth="1"/>
    <col min="8" max="8" width="14.140625" style="306" customWidth="1"/>
    <col min="9" max="9" width="16.140625" style="306" customWidth="1"/>
    <col min="10" max="16" width="14.140625" style="306" customWidth="1"/>
    <col min="17" max="17" width="16.140625" style="307" bestFit="1" customWidth="1"/>
    <col min="18" max="18" width="4.28515625" style="308" customWidth="1"/>
    <col min="19" max="19" width="13.140625" style="307" bestFit="1" customWidth="1"/>
    <col min="20" max="16384" width="9.140625" style="306"/>
  </cols>
  <sheetData>
    <row r="1" spans="1:19" x14ac:dyDescent="0.25">
      <c r="A1" s="304" t="s">
        <v>1595</v>
      </c>
    </row>
    <row r="2" spans="1:19" x14ac:dyDescent="0.25">
      <c r="A2" s="304" t="s">
        <v>1596</v>
      </c>
      <c r="D2" s="309"/>
      <c r="F2" s="310"/>
      <c r="G2" s="311"/>
      <c r="H2" s="309"/>
    </row>
    <row r="3" spans="1:19" x14ac:dyDescent="0.25">
      <c r="A3" s="312" t="s">
        <v>1597</v>
      </c>
    </row>
    <row r="4" spans="1:19" s="313" customFormat="1" x14ac:dyDescent="0.25">
      <c r="A4" s="304"/>
      <c r="C4" s="314" t="s">
        <v>1598</v>
      </c>
      <c r="D4" s="314" t="s">
        <v>1545</v>
      </c>
      <c r="E4" s="314" t="s">
        <v>1537</v>
      </c>
      <c r="F4" s="314" t="s">
        <v>1599</v>
      </c>
      <c r="G4" s="315"/>
      <c r="H4" s="314" t="s">
        <v>1600</v>
      </c>
      <c r="I4" s="316" t="s">
        <v>1601</v>
      </c>
      <c r="J4" s="316" t="s">
        <v>1602</v>
      </c>
      <c r="K4" s="314" t="s">
        <v>1603</v>
      </c>
      <c r="L4" s="314" t="s">
        <v>1604</v>
      </c>
      <c r="M4" s="314" t="s">
        <v>1605</v>
      </c>
      <c r="N4" s="314" t="s">
        <v>1606</v>
      </c>
      <c r="O4" s="314" t="s">
        <v>1607</v>
      </c>
      <c r="P4" s="314" t="s">
        <v>1608</v>
      </c>
      <c r="Q4" s="314" t="s">
        <v>1609</v>
      </c>
      <c r="R4" s="315"/>
      <c r="S4" s="314" t="s">
        <v>524</v>
      </c>
    </row>
    <row r="5" spans="1:19" x14ac:dyDescent="0.25">
      <c r="A5" s="304" t="s">
        <v>1487</v>
      </c>
      <c r="B5" s="306"/>
      <c r="I5" s="309"/>
      <c r="J5" s="309"/>
    </row>
    <row r="6" spans="1:19" x14ac:dyDescent="0.25">
      <c r="B6" s="305" t="s">
        <v>1524</v>
      </c>
      <c r="C6" s="306">
        <v>36295.537585205988</v>
      </c>
      <c r="D6" s="306">
        <v>19334.658772156421</v>
      </c>
      <c r="E6" s="306">
        <v>2022.689469657716</v>
      </c>
      <c r="F6" s="307">
        <f>SUM(C6:E6)</f>
        <v>57652.885827020124</v>
      </c>
      <c r="H6" s="306">
        <v>6355.2074587671796</v>
      </c>
      <c r="I6" s="309">
        <v>1653</v>
      </c>
      <c r="J6" s="309">
        <v>238</v>
      </c>
      <c r="K6" s="306">
        <v>1909.3955324454889</v>
      </c>
      <c r="L6" s="306">
        <v>2553.7639473457898</v>
      </c>
      <c r="M6" s="306">
        <v>0</v>
      </c>
      <c r="N6" s="306">
        <v>10741.458053341554</v>
      </c>
      <c r="O6" s="306">
        <v>0</v>
      </c>
      <c r="P6" s="306">
        <v>2830.9066628336122</v>
      </c>
      <c r="Q6" s="307">
        <f>SUM(H6:P6)</f>
        <v>26281.731654733623</v>
      </c>
      <c r="S6" s="307">
        <f>+F6+Q6</f>
        <v>83934.617481753754</v>
      </c>
    </row>
    <row r="7" spans="1:19" x14ac:dyDescent="0.25">
      <c r="B7" s="305" t="s">
        <v>1547</v>
      </c>
      <c r="C7" s="306">
        <v>36676.375114212438</v>
      </c>
      <c r="D7" s="306">
        <v>19536.892002660425</v>
      </c>
      <c r="E7" s="306">
        <v>884.43412046543472</v>
      </c>
      <c r="F7" s="307">
        <f t="shared" ref="F7:F8" si="0">SUM(C7:E7)</f>
        <v>57097.701237338297</v>
      </c>
      <c r="H7" s="309">
        <v>6324.7074275243958</v>
      </c>
      <c r="I7" s="309">
        <f>+I6</f>
        <v>1653</v>
      </c>
      <c r="J7" s="309">
        <f>+J6</f>
        <v>238</v>
      </c>
      <c r="K7" s="309">
        <v>1880.4300558114132</v>
      </c>
      <c r="L7" s="309">
        <v>2539.8903027886854</v>
      </c>
      <c r="M7" s="309">
        <v>0</v>
      </c>
      <c r="N7" s="309">
        <v>10603.262224798111</v>
      </c>
      <c r="O7" s="309">
        <v>0</v>
      </c>
      <c r="P7" s="309">
        <v>2798.4509989213302</v>
      </c>
      <c r="Q7" s="307">
        <f>SUM(H7:P7)</f>
        <v>26037.741009843932</v>
      </c>
      <c r="S7" s="307">
        <f>+F7+Q7</f>
        <v>83135.442247182233</v>
      </c>
    </row>
    <row r="8" spans="1:19" x14ac:dyDescent="0.25">
      <c r="B8" s="305" t="s">
        <v>1471</v>
      </c>
      <c r="C8" s="306">
        <v>23058.058117583609</v>
      </c>
      <c r="D8" s="309">
        <v>9546.737189859763</v>
      </c>
      <c r="E8" s="306">
        <v>0</v>
      </c>
      <c r="F8" s="307">
        <f t="shared" si="0"/>
        <v>32604.795307443372</v>
      </c>
      <c r="H8" s="306">
        <v>4143.557242988807</v>
      </c>
      <c r="I8" s="309">
        <v>1147</v>
      </c>
      <c r="J8" s="309">
        <v>61</v>
      </c>
      <c r="K8" s="306">
        <v>1338.4374290447777</v>
      </c>
      <c r="L8" s="306">
        <v>1948.1084724279369</v>
      </c>
      <c r="M8" s="306">
        <v>0</v>
      </c>
      <c r="N8" s="306">
        <v>7397.61019049063</v>
      </c>
      <c r="O8" s="306">
        <v>0</v>
      </c>
      <c r="P8" s="306">
        <v>1980.6789352503365</v>
      </c>
      <c r="Q8" s="307">
        <f>SUM(H8:P8)</f>
        <v>18016.392270202487</v>
      </c>
      <c r="S8" s="307">
        <f>+F8+Q8</f>
        <v>50621.187577645862</v>
      </c>
    </row>
    <row r="9" spans="1:19" x14ac:dyDescent="0.25">
      <c r="B9" s="318" t="s">
        <v>1610</v>
      </c>
      <c r="C9" s="319">
        <f>SUM(C6:C8)</f>
        <v>96029.970817002046</v>
      </c>
      <c r="D9" s="319">
        <f>SUM(D6:D8)</f>
        <v>48418.287964676609</v>
      </c>
      <c r="E9" s="319">
        <f>SUM(E6:E8)</f>
        <v>2907.1235901231507</v>
      </c>
      <c r="F9" s="320">
        <f>SUM(F6:F8)</f>
        <v>147355.3823718018</v>
      </c>
      <c r="H9" s="319">
        <f>SUM(H6:H8)</f>
        <v>16823.472129280381</v>
      </c>
      <c r="I9" s="321">
        <f t="shared" ref="I9:S9" si="1">SUM(I6:I8)</f>
        <v>4453</v>
      </c>
      <c r="J9" s="321">
        <f t="shared" si="1"/>
        <v>537</v>
      </c>
      <c r="K9" s="319">
        <f t="shared" si="1"/>
        <v>5128.2630173016796</v>
      </c>
      <c r="L9" s="319">
        <f t="shared" si="1"/>
        <v>7041.7627225624128</v>
      </c>
      <c r="M9" s="319">
        <f t="shared" si="1"/>
        <v>0</v>
      </c>
      <c r="N9" s="319">
        <f t="shared" si="1"/>
        <v>28742.330468630294</v>
      </c>
      <c r="O9" s="319">
        <f t="shared" si="1"/>
        <v>0</v>
      </c>
      <c r="P9" s="319">
        <f t="shared" si="1"/>
        <v>7610.036597005279</v>
      </c>
      <c r="Q9" s="320">
        <f t="shared" si="1"/>
        <v>70335.864934780038</v>
      </c>
      <c r="S9" s="320">
        <f t="shared" si="1"/>
        <v>217691.24730658188</v>
      </c>
    </row>
    <row r="10" spans="1:19" x14ac:dyDescent="0.25">
      <c r="C10" s="322"/>
      <c r="D10" s="322"/>
      <c r="E10" s="322"/>
      <c r="F10" s="323"/>
      <c r="H10" s="322"/>
      <c r="I10" s="324"/>
      <c r="J10" s="324"/>
      <c r="K10" s="322"/>
      <c r="L10" s="322"/>
      <c r="M10" s="322"/>
      <c r="N10" s="322"/>
      <c r="O10" s="322"/>
      <c r="P10" s="322"/>
      <c r="Q10" s="323"/>
      <c r="S10" s="323"/>
    </row>
    <row r="11" spans="1:19" x14ac:dyDescent="0.25">
      <c r="A11" s="304" t="s">
        <v>1486</v>
      </c>
      <c r="B11" s="306"/>
      <c r="I11" s="309"/>
      <c r="J11" s="309"/>
    </row>
    <row r="12" spans="1:19" x14ac:dyDescent="0.25">
      <c r="B12" s="305" t="s">
        <v>1524</v>
      </c>
      <c r="C12" s="306">
        <v>1148.1184173731428</v>
      </c>
      <c r="D12" s="306">
        <v>621.6161593934188</v>
      </c>
      <c r="E12" s="306">
        <v>227.3542570515032</v>
      </c>
      <c r="F12" s="307">
        <f t="shared" ref="F12:F15" si="2">SUM(C12:E12)</f>
        <v>1997.0888338180648</v>
      </c>
      <c r="H12" s="306">
        <v>82.458810912405667</v>
      </c>
      <c r="I12" s="309">
        <v>102</v>
      </c>
      <c r="J12" s="309">
        <v>7</v>
      </c>
      <c r="K12" s="306">
        <v>51.192709935397225</v>
      </c>
      <c r="L12" s="306">
        <v>33.113827220129615</v>
      </c>
      <c r="M12" s="306">
        <v>0</v>
      </c>
      <c r="N12" s="306">
        <v>298.44563711893738</v>
      </c>
      <c r="O12" s="306">
        <v>0</v>
      </c>
      <c r="P12" s="306">
        <v>198.5072200742249</v>
      </c>
      <c r="Q12" s="307">
        <f>SUM(H12:P12)</f>
        <v>772.71820526109491</v>
      </c>
      <c r="S12" s="307">
        <f>+F12+Q12</f>
        <v>2769.8070390791599</v>
      </c>
    </row>
    <row r="13" spans="1:19" x14ac:dyDescent="0.25">
      <c r="B13" s="305" t="s">
        <v>1547</v>
      </c>
      <c r="C13" s="306">
        <v>0</v>
      </c>
      <c r="D13" s="306">
        <v>0</v>
      </c>
      <c r="E13" s="306">
        <v>0</v>
      </c>
      <c r="F13" s="307">
        <f t="shared" si="2"/>
        <v>0</v>
      </c>
      <c r="H13" s="306">
        <v>0</v>
      </c>
      <c r="I13" s="309">
        <v>0</v>
      </c>
      <c r="J13" s="309">
        <v>0</v>
      </c>
      <c r="K13" s="306">
        <v>0</v>
      </c>
      <c r="L13" s="306">
        <v>2</v>
      </c>
      <c r="M13" s="306">
        <v>0</v>
      </c>
      <c r="N13" s="306">
        <v>0</v>
      </c>
      <c r="O13" s="306">
        <v>0</v>
      </c>
      <c r="P13" s="306">
        <v>0</v>
      </c>
      <c r="Q13" s="307">
        <f>SUM(H13:P13)</f>
        <v>2</v>
      </c>
      <c r="S13" s="307">
        <f>+F13+Q13</f>
        <v>2</v>
      </c>
    </row>
    <row r="14" spans="1:19" x14ac:dyDescent="0.25">
      <c r="B14" s="305" t="s">
        <v>1611</v>
      </c>
      <c r="C14" s="306">
        <v>4961.978717856412</v>
      </c>
      <c r="D14" s="306">
        <v>844.33098559991845</v>
      </c>
      <c r="E14" s="306">
        <v>0</v>
      </c>
      <c r="F14" s="307">
        <f t="shared" si="2"/>
        <v>5806.3097034563307</v>
      </c>
      <c r="H14" s="306">
        <v>0</v>
      </c>
      <c r="I14" s="309">
        <v>0</v>
      </c>
      <c r="J14" s="309">
        <v>0</v>
      </c>
      <c r="K14" s="306">
        <v>0</v>
      </c>
      <c r="L14" s="306">
        <v>0</v>
      </c>
      <c r="M14" s="306">
        <v>0</v>
      </c>
      <c r="N14" s="306">
        <v>66.086960276859401</v>
      </c>
      <c r="O14" s="306">
        <v>0</v>
      </c>
      <c r="P14" s="306">
        <v>0</v>
      </c>
      <c r="Q14" s="307">
        <f>SUM(H14:P14)</f>
        <v>66.086960276859401</v>
      </c>
      <c r="S14" s="307">
        <f>+F14+Q14</f>
        <v>5872.3966637331905</v>
      </c>
    </row>
    <row r="15" spans="1:19" x14ac:dyDescent="0.25">
      <c r="B15" s="305" t="s">
        <v>1612</v>
      </c>
      <c r="C15" s="309">
        <v>2205.6435321337931</v>
      </c>
      <c r="D15" s="309">
        <v>430.8393355984997</v>
      </c>
      <c r="E15" s="306">
        <v>0</v>
      </c>
      <c r="F15" s="307">
        <f t="shared" si="2"/>
        <v>2636.482867732293</v>
      </c>
      <c r="H15" s="306">
        <v>0</v>
      </c>
      <c r="I15" s="309">
        <v>0</v>
      </c>
      <c r="J15" s="309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7">
        <f>SUM(H15:P15)</f>
        <v>0</v>
      </c>
      <c r="S15" s="307">
        <f>+F15+Q15</f>
        <v>2636.482867732293</v>
      </c>
    </row>
    <row r="16" spans="1:19" x14ac:dyDescent="0.25">
      <c r="B16" s="318" t="s">
        <v>1613</v>
      </c>
      <c r="C16" s="319">
        <f>SUM(C12:C15)</f>
        <v>8315.7406673633486</v>
      </c>
      <c r="D16" s="319">
        <f>SUM(D12:D15)</f>
        <v>1896.7864805918368</v>
      </c>
      <c r="E16" s="319">
        <f>SUM(E12:E15)</f>
        <v>227.3542570515032</v>
      </c>
      <c r="F16" s="320">
        <f>SUM(F12:F15)</f>
        <v>10439.881405006689</v>
      </c>
      <c r="H16" s="319">
        <f>SUM(H12:H15)</f>
        <v>82.458810912405667</v>
      </c>
      <c r="I16" s="321">
        <f t="shared" ref="I16:S16" si="3">SUM(I12:I15)</f>
        <v>102</v>
      </c>
      <c r="J16" s="321">
        <f t="shared" si="3"/>
        <v>7</v>
      </c>
      <c r="K16" s="319">
        <f t="shared" si="3"/>
        <v>51.192709935397225</v>
      </c>
      <c r="L16" s="319">
        <f t="shared" si="3"/>
        <v>35.113827220129615</v>
      </c>
      <c r="M16" s="319">
        <f t="shared" si="3"/>
        <v>0</v>
      </c>
      <c r="N16" s="319">
        <f t="shared" si="3"/>
        <v>364.53259739579676</v>
      </c>
      <c r="O16" s="319">
        <f t="shared" si="3"/>
        <v>0</v>
      </c>
      <c r="P16" s="319">
        <f t="shared" si="3"/>
        <v>198.5072200742249</v>
      </c>
      <c r="Q16" s="320">
        <f t="shared" si="3"/>
        <v>840.80516553795428</v>
      </c>
      <c r="S16" s="320">
        <f t="shared" si="3"/>
        <v>11280.686570544643</v>
      </c>
    </row>
    <row r="17" spans="1:19" x14ac:dyDescent="0.25">
      <c r="C17" s="322"/>
      <c r="D17" s="322"/>
      <c r="E17" s="322"/>
      <c r="F17" s="323"/>
      <c r="H17" s="322"/>
      <c r="I17" s="324"/>
      <c r="J17" s="324"/>
      <c r="K17" s="322"/>
      <c r="L17" s="322"/>
      <c r="M17" s="322"/>
      <c r="N17" s="322"/>
      <c r="O17" s="322"/>
      <c r="P17" s="322"/>
      <c r="Q17" s="323"/>
      <c r="S17" s="323"/>
    </row>
    <row r="18" spans="1:19" x14ac:dyDescent="0.25">
      <c r="A18" s="304" t="s">
        <v>1540</v>
      </c>
      <c r="B18" s="306"/>
      <c r="I18" s="309"/>
      <c r="J18" s="309"/>
    </row>
    <row r="19" spans="1:19" x14ac:dyDescent="0.25">
      <c r="B19" s="305" t="s">
        <v>1614</v>
      </c>
      <c r="C19" s="306">
        <v>236.85391013430942</v>
      </c>
      <c r="D19" s="306">
        <v>31.282433589578396</v>
      </c>
      <c r="E19" s="306">
        <v>8.0833333333333321</v>
      </c>
      <c r="F19" s="307">
        <f>SUM(C19:E19)</f>
        <v>276.21967705722113</v>
      </c>
      <c r="H19" s="306">
        <v>8.1170170871343466</v>
      </c>
      <c r="I19" s="309">
        <v>0</v>
      </c>
      <c r="J19" s="309">
        <v>0</v>
      </c>
      <c r="K19" s="306">
        <v>0</v>
      </c>
      <c r="L19" s="306">
        <v>0</v>
      </c>
      <c r="M19" s="306">
        <v>0</v>
      </c>
      <c r="N19" s="306">
        <v>57.688731721868912</v>
      </c>
      <c r="O19" s="306">
        <v>0</v>
      </c>
      <c r="P19" s="306">
        <v>0</v>
      </c>
      <c r="Q19" s="307">
        <f>SUM(H19:P19)</f>
        <v>65.805748809003262</v>
      </c>
      <c r="S19" s="307">
        <f>+F19+Q19</f>
        <v>342.0254258662244</v>
      </c>
    </row>
    <row r="20" spans="1:19" x14ac:dyDescent="0.25">
      <c r="B20" s="305" t="s">
        <v>1416</v>
      </c>
      <c r="C20" s="306">
        <v>0</v>
      </c>
      <c r="D20" s="306">
        <v>0</v>
      </c>
      <c r="E20" s="306">
        <v>0</v>
      </c>
      <c r="F20" s="307">
        <f t="shared" ref="F20" si="4">SUM(C20:E20)</f>
        <v>0</v>
      </c>
      <c r="H20" s="306">
        <v>0</v>
      </c>
      <c r="I20" s="309">
        <v>0</v>
      </c>
      <c r="J20" s="309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7">
        <f>SUM(H20:P20)</f>
        <v>0</v>
      </c>
      <c r="S20" s="307">
        <f>+F20+Q20</f>
        <v>0</v>
      </c>
    </row>
    <row r="21" spans="1:19" x14ac:dyDescent="0.25">
      <c r="B21" s="318" t="s">
        <v>1615</v>
      </c>
      <c r="C21" s="319">
        <f>SUM(C19:C20)</f>
        <v>236.85391013430942</v>
      </c>
      <c r="D21" s="319">
        <f>SUM(D19:D20)</f>
        <v>31.282433589578396</v>
      </c>
      <c r="E21" s="319">
        <f>SUM(E19:E20)</f>
        <v>8.0833333333333321</v>
      </c>
      <c r="F21" s="320">
        <f>SUM(F19:F20)</f>
        <v>276.21967705722113</v>
      </c>
      <c r="H21" s="319">
        <f>SUM(H19:H20)</f>
        <v>8.1170170871343466</v>
      </c>
      <c r="I21" s="321">
        <f t="shared" ref="I21:S21" si="5">SUM(I19:I20)</f>
        <v>0</v>
      </c>
      <c r="J21" s="321">
        <f t="shared" si="5"/>
        <v>0</v>
      </c>
      <c r="K21" s="319">
        <f t="shared" si="5"/>
        <v>0</v>
      </c>
      <c r="L21" s="319">
        <f t="shared" si="5"/>
        <v>0</v>
      </c>
      <c r="M21" s="319">
        <f t="shared" si="5"/>
        <v>0</v>
      </c>
      <c r="N21" s="319">
        <f t="shared" si="5"/>
        <v>57.688731721868912</v>
      </c>
      <c r="O21" s="319">
        <f t="shared" si="5"/>
        <v>0</v>
      </c>
      <c r="P21" s="319">
        <f t="shared" si="5"/>
        <v>0</v>
      </c>
      <c r="Q21" s="320">
        <f t="shared" si="5"/>
        <v>65.805748809003262</v>
      </c>
      <c r="S21" s="320">
        <f t="shared" si="5"/>
        <v>342.0254258662244</v>
      </c>
    </row>
    <row r="22" spans="1:19" x14ac:dyDescent="0.25">
      <c r="I22" s="309"/>
      <c r="J22" s="309"/>
    </row>
    <row r="23" spans="1:19" x14ac:dyDescent="0.25">
      <c r="B23" s="318" t="s">
        <v>1616</v>
      </c>
      <c r="C23" s="319">
        <v>0</v>
      </c>
      <c r="D23" s="319">
        <v>0</v>
      </c>
      <c r="E23" s="319">
        <v>0</v>
      </c>
      <c r="F23" s="319">
        <f>SUM(C23:E23)</f>
        <v>0</v>
      </c>
      <c r="H23" s="319">
        <v>0</v>
      </c>
      <c r="I23" s="321">
        <v>0</v>
      </c>
      <c r="J23" s="321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20">
        <f>SUM(H23:P23)</f>
        <v>0</v>
      </c>
      <c r="S23" s="320">
        <f>+F23+Q23</f>
        <v>0</v>
      </c>
    </row>
    <row r="24" spans="1:19" x14ac:dyDescent="0.25">
      <c r="F24" s="306"/>
      <c r="I24" s="309"/>
      <c r="J24" s="309"/>
    </row>
    <row r="25" spans="1:19" x14ac:dyDescent="0.25">
      <c r="B25" s="318" t="s">
        <v>1617</v>
      </c>
      <c r="C25" s="319">
        <v>0</v>
      </c>
      <c r="D25" s="319">
        <v>0</v>
      </c>
      <c r="E25" s="319">
        <v>0</v>
      </c>
      <c r="F25" s="319">
        <f>SUM(C25:E25)</f>
        <v>0</v>
      </c>
      <c r="H25" s="319">
        <v>0</v>
      </c>
      <c r="I25" s="321">
        <v>0</v>
      </c>
      <c r="J25" s="321">
        <v>0</v>
      </c>
      <c r="K25" s="319">
        <v>0</v>
      </c>
      <c r="L25" s="319">
        <v>0</v>
      </c>
      <c r="M25" s="319">
        <v>0</v>
      </c>
      <c r="N25" s="319">
        <v>0</v>
      </c>
      <c r="O25" s="319">
        <v>0</v>
      </c>
      <c r="P25" s="319">
        <v>0</v>
      </c>
      <c r="Q25" s="320">
        <f>SUM(H25:P25)</f>
        <v>0</v>
      </c>
      <c r="S25" s="320">
        <f>+F25+Q25</f>
        <v>0</v>
      </c>
    </row>
    <row r="26" spans="1:19" x14ac:dyDescent="0.25">
      <c r="I26" s="309"/>
      <c r="J26" s="309"/>
    </row>
    <row r="27" spans="1:19" s="307" customFormat="1" ht="15.75" thickBot="1" x14ac:dyDescent="0.3">
      <c r="A27" s="304"/>
      <c r="B27" s="318" t="s">
        <v>524</v>
      </c>
      <c r="C27" s="325">
        <f>+C9+C16+C21+C23+C25</f>
        <v>104582.5653944997</v>
      </c>
      <c r="D27" s="325">
        <f>+D9+D16+D21+D23+D25</f>
        <v>50346.356878858023</v>
      </c>
      <c r="E27" s="325">
        <f>+E9+E16+E21+E23+E25</f>
        <v>3142.5611805079875</v>
      </c>
      <c r="F27" s="325">
        <f>+F9+F16+F21+F23+F25</f>
        <v>158071.48345386572</v>
      </c>
      <c r="G27" s="326"/>
      <c r="H27" s="325">
        <f>+H9+H16+H21+H23+H25</f>
        <v>16914.04795727992</v>
      </c>
      <c r="I27" s="327">
        <f t="shared" ref="I27:Q27" si="6">+I9+I16+I21+I23+I25</f>
        <v>4555</v>
      </c>
      <c r="J27" s="327">
        <f t="shared" si="6"/>
        <v>544</v>
      </c>
      <c r="K27" s="325">
        <f t="shared" si="6"/>
        <v>5179.4557272370766</v>
      </c>
      <c r="L27" s="325">
        <f t="shared" si="6"/>
        <v>7076.8765497825425</v>
      </c>
      <c r="M27" s="325">
        <f t="shared" si="6"/>
        <v>0</v>
      </c>
      <c r="N27" s="325">
        <f t="shared" si="6"/>
        <v>29164.551797747958</v>
      </c>
      <c r="O27" s="325">
        <f t="shared" si="6"/>
        <v>0</v>
      </c>
      <c r="P27" s="325">
        <f t="shared" si="6"/>
        <v>7808.5438170795042</v>
      </c>
      <c r="Q27" s="325">
        <f t="shared" si="6"/>
        <v>71242.475849126989</v>
      </c>
      <c r="R27" s="326"/>
      <c r="S27" s="325">
        <f>+F27+Q27</f>
        <v>229313.95930299271</v>
      </c>
    </row>
    <row r="28" spans="1:19" ht="15.75" thickTop="1" x14ac:dyDescent="0.25"/>
    <row r="29" spans="1:19" x14ac:dyDescent="0.25">
      <c r="C29" s="306">
        <v>0</v>
      </c>
      <c r="D29" s="306">
        <v>0</v>
      </c>
    </row>
    <row r="31" spans="1:19" ht="15.75" thickBot="1" x14ac:dyDescent="0.3">
      <c r="P31" s="307"/>
      <c r="Q31" s="308"/>
      <c r="R31" s="307"/>
      <c r="S31" s="306"/>
    </row>
    <row r="32" spans="1:19" ht="15.75" thickBot="1" x14ac:dyDescent="0.3">
      <c r="H32" s="379" t="s">
        <v>1551</v>
      </c>
      <c r="I32" s="380"/>
      <c r="J32" s="380"/>
      <c r="K32" s="380"/>
      <c r="L32" s="380"/>
      <c r="M32" s="380"/>
      <c r="N32" s="381"/>
      <c r="P32" s="382" t="s">
        <v>1552</v>
      </c>
      <c r="Q32" s="383"/>
      <c r="R32" s="307"/>
      <c r="S32" s="306"/>
    </row>
    <row r="33" spans="8:19" x14ac:dyDescent="0.25">
      <c r="H33" s="328"/>
      <c r="I33" s="329"/>
      <c r="J33" s="330"/>
      <c r="K33" s="330"/>
      <c r="L33" s="330"/>
      <c r="M33" s="330"/>
      <c r="N33" s="331"/>
      <c r="P33" s="332"/>
      <c r="Q33" s="333"/>
      <c r="R33" s="307"/>
      <c r="S33" s="306"/>
    </row>
    <row r="34" spans="8:19" x14ac:dyDescent="0.25">
      <c r="H34" s="334"/>
      <c r="I34" s="335"/>
      <c r="J34" s="336" t="s">
        <v>1544</v>
      </c>
      <c r="K34" s="336" t="s">
        <v>1545</v>
      </c>
      <c r="L34" s="336" t="s">
        <v>1537</v>
      </c>
      <c r="M34" s="336" t="s">
        <v>541</v>
      </c>
      <c r="N34" s="337" t="s">
        <v>1546</v>
      </c>
      <c r="P34" s="338" t="s">
        <v>1553</v>
      </c>
      <c r="Q34" s="339" t="s">
        <v>1546</v>
      </c>
      <c r="R34" s="307"/>
      <c r="S34" s="306"/>
    </row>
    <row r="35" spans="8:19" x14ac:dyDescent="0.25">
      <c r="H35" s="334"/>
      <c r="I35" s="340" t="s">
        <v>1487</v>
      </c>
      <c r="J35" s="341">
        <f>C6</f>
        <v>36295.537585205988</v>
      </c>
      <c r="K35" s="341">
        <f t="shared" ref="K35:L37" si="7">D6</f>
        <v>19334.658772156421</v>
      </c>
      <c r="L35" s="341">
        <f>E6</f>
        <v>2022.689469657716</v>
      </c>
      <c r="M35" s="342">
        <f>SUM(J35:L35)</f>
        <v>57652.885827020124</v>
      </c>
      <c r="N35" s="343">
        <f t="shared" ref="N35:N43" si="8">M35/$M$45</f>
        <v>0.36472667028424849</v>
      </c>
      <c r="P35" s="344">
        <f>Q6</f>
        <v>26281.731654733623</v>
      </c>
      <c r="Q35" s="345">
        <f t="shared" ref="Q35:Q45" si="9">P35/$P$45</f>
        <v>0.36890536637709626</v>
      </c>
      <c r="R35" s="307"/>
      <c r="S35" s="306"/>
    </row>
    <row r="36" spans="8:19" x14ac:dyDescent="0.25">
      <c r="H36" s="334"/>
      <c r="I36" s="340" t="s">
        <v>1542</v>
      </c>
      <c r="J36" s="341">
        <f>C7</f>
        <v>36676.375114212438</v>
      </c>
      <c r="K36" s="341">
        <f t="shared" si="7"/>
        <v>19536.892002660425</v>
      </c>
      <c r="L36" s="341">
        <f t="shared" si="7"/>
        <v>884.43412046543472</v>
      </c>
      <c r="M36" s="342">
        <f t="shared" ref="M36:M44" si="10">SUM(J36:L36)</f>
        <v>57097.701237338297</v>
      </c>
      <c r="N36" s="343">
        <f t="shared" si="8"/>
        <v>0.36121443279807436</v>
      </c>
      <c r="P36" s="344">
        <f t="shared" ref="P36:P37" si="11">Q7</f>
        <v>26037.741009843932</v>
      </c>
      <c r="Q36" s="345">
        <f t="shared" si="9"/>
        <v>0.36548057460811845</v>
      </c>
      <c r="R36" s="307"/>
      <c r="S36" s="306"/>
    </row>
    <row r="37" spans="8:19" x14ac:dyDescent="0.25">
      <c r="H37" s="334"/>
      <c r="I37" s="340" t="s">
        <v>1539</v>
      </c>
      <c r="J37" s="341">
        <f>C8</f>
        <v>23058.058117583609</v>
      </c>
      <c r="K37" s="341">
        <f t="shared" si="7"/>
        <v>9546.737189859763</v>
      </c>
      <c r="L37" s="341">
        <f t="shared" si="7"/>
        <v>0</v>
      </c>
      <c r="M37" s="342">
        <f t="shared" si="10"/>
        <v>32604.795307443372</v>
      </c>
      <c r="N37" s="343">
        <f t="shared" si="8"/>
        <v>0.20626614361444462</v>
      </c>
      <c r="P37" s="344">
        <f t="shared" si="11"/>
        <v>18016.392270202487</v>
      </c>
      <c r="Q37" s="345">
        <f t="shared" si="9"/>
        <v>0.25288835144298627</v>
      </c>
      <c r="R37" s="307"/>
      <c r="S37" s="306"/>
    </row>
    <row r="38" spans="8:19" x14ac:dyDescent="0.25">
      <c r="H38" s="334"/>
      <c r="I38" s="346" t="s">
        <v>1538</v>
      </c>
      <c r="J38" s="341">
        <f>C23</f>
        <v>0</v>
      </c>
      <c r="K38" s="341">
        <f>D23</f>
        <v>0</v>
      </c>
      <c r="L38" s="341">
        <f>E23</f>
        <v>0</v>
      </c>
      <c r="M38" s="342">
        <f t="shared" si="10"/>
        <v>0</v>
      </c>
      <c r="N38" s="343">
        <f t="shared" si="8"/>
        <v>0</v>
      </c>
      <c r="P38" s="344">
        <f>Q23</f>
        <v>0</v>
      </c>
      <c r="Q38" s="345">
        <f t="shared" si="9"/>
        <v>0</v>
      </c>
      <c r="R38" s="307"/>
      <c r="S38" s="306"/>
    </row>
    <row r="39" spans="8:19" x14ac:dyDescent="0.25">
      <c r="H39" s="334"/>
      <c r="I39" s="340" t="s">
        <v>1486</v>
      </c>
      <c r="J39" s="341">
        <f>C12</f>
        <v>1148.1184173731428</v>
      </c>
      <c r="K39" s="341">
        <f t="shared" ref="J39:L42" si="12">D12</f>
        <v>621.6161593934188</v>
      </c>
      <c r="L39" s="341">
        <f t="shared" si="12"/>
        <v>227.3542570515032</v>
      </c>
      <c r="M39" s="342">
        <f t="shared" si="10"/>
        <v>1997.0888338180648</v>
      </c>
      <c r="N39" s="343">
        <f t="shared" si="8"/>
        <v>1.2634086744690604E-2</v>
      </c>
      <c r="P39" s="344">
        <f>Q12</f>
        <v>772.71820526109491</v>
      </c>
      <c r="Q39" s="345">
        <f t="shared" si="9"/>
        <v>1.0846313186777938E-2</v>
      </c>
      <c r="R39" s="307"/>
      <c r="S39" s="306"/>
    </row>
    <row r="40" spans="8:19" x14ac:dyDescent="0.25">
      <c r="H40" s="334"/>
      <c r="I40" s="340" t="s">
        <v>1548</v>
      </c>
      <c r="J40" s="341">
        <f t="shared" si="12"/>
        <v>0</v>
      </c>
      <c r="K40" s="341">
        <f t="shared" si="12"/>
        <v>0</v>
      </c>
      <c r="L40" s="341">
        <f t="shared" si="12"/>
        <v>0</v>
      </c>
      <c r="M40" s="342">
        <f t="shared" si="10"/>
        <v>0</v>
      </c>
      <c r="N40" s="343">
        <f t="shared" si="8"/>
        <v>0</v>
      </c>
      <c r="P40" s="344">
        <f t="shared" ref="P40:P42" si="13">Q13</f>
        <v>2</v>
      </c>
      <c r="Q40" s="345">
        <f t="shared" si="9"/>
        <v>2.8073140021628095E-5</v>
      </c>
      <c r="R40" s="307"/>
      <c r="S40" s="306"/>
    </row>
    <row r="41" spans="8:19" x14ac:dyDescent="0.25">
      <c r="H41" s="334"/>
      <c r="I41" s="340" t="s">
        <v>1549</v>
      </c>
      <c r="J41" s="341">
        <f t="shared" si="12"/>
        <v>4961.978717856412</v>
      </c>
      <c r="K41" s="341">
        <f t="shared" si="12"/>
        <v>844.33098559991845</v>
      </c>
      <c r="L41" s="341">
        <f t="shared" si="12"/>
        <v>0</v>
      </c>
      <c r="M41" s="342">
        <f t="shared" si="10"/>
        <v>5806.3097034563307</v>
      </c>
      <c r="N41" s="343">
        <f t="shared" si="8"/>
        <v>3.6732176965688715E-2</v>
      </c>
      <c r="P41" s="344">
        <f t="shared" si="13"/>
        <v>66.086960276859401</v>
      </c>
      <c r="Q41" s="345">
        <f t="shared" si="9"/>
        <v>9.2763424472802397E-4</v>
      </c>
      <c r="R41" s="307"/>
      <c r="S41" s="306"/>
    </row>
    <row r="42" spans="8:19" x14ac:dyDescent="0.25">
      <c r="H42" s="334"/>
      <c r="I42" s="340" t="s">
        <v>1543</v>
      </c>
      <c r="J42" s="341">
        <f t="shared" si="12"/>
        <v>2205.6435321337931</v>
      </c>
      <c r="K42" s="341">
        <f t="shared" si="12"/>
        <v>430.8393355984997</v>
      </c>
      <c r="L42" s="341">
        <f t="shared" si="12"/>
        <v>0</v>
      </c>
      <c r="M42" s="342">
        <f t="shared" si="10"/>
        <v>2636.482867732293</v>
      </c>
      <c r="N42" s="343">
        <f t="shared" si="8"/>
        <v>1.6679054375432423E-2</v>
      </c>
      <c r="P42" s="344">
        <f t="shared" si="13"/>
        <v>0</v>
      </c>
      <c r="Q42" s="345">
        <f t="shared" si="9"/>
        <v>0</v>
      </c>
      <c r="R42" s="307"/>
      <c r="S42" s="306"/>
    </row>
    <row r="43" spans="8:19" x14ac:dyDescent="0.25">
      <c r="H43" s="334"/>
      <c r="I43" s="340" t="s">
        <v>1614</v>
      </c>
      <c r="J43" s="341">
        <f>C19</f>
        <v>236.85391013430942</v>
      </c>
      <c r="K43" s="341">
        <f t="shared" ref="K43:L44" si="14">D19</f>
        <v>31.282433589578396</v>
      </c>
      <c r="L43" s="341">
        <f t="shared" si="14"/>
        <v>8.0833333333333321</v>
      </c>
      <c r="M43" s="342">
        <f t="shared" si="10"/>
        <v>276.21967705722113</v>
      </c>
      <c r="N43" s="343">
        <f t="shared" si="8"/>
        <v>1.7474352174207172E-3</v>
      </c>
      <c r="P43" s="344">
        <f>Q19</f>
        <v>65.805748809003262</v>
      </c>
      <c r="Q43" s="345">
        <f t="shared" si="9"/>
        <v>9.2368700027161744E-4</v>
      </c>
      <c r="R43" s="307"/>
      <c r="S43" s="306"/>
    </row>
    <row r="44" spans="8:19" x14ac:dyDescent="0.25">
      <c r="H44" s="334"/>
      <c r="I44" s="340" t="s">
        <v>1416</v>
      </c>
      <c r="J44" s="341">
        <f>C20</f>
        <v>0</v>
      </c>
      <c r="K44" s="341">
        <f t="shared" si="14"/>
        <v>0</v>
      </c>
      <c r="L44" s="341">
        <f t="shared" si="14"/>
        <v>0</v>
      </c>
      <c r="M44" s="342">
        <f t="shared" si="10"/>
        <v>0</v>
      </c>
      <c r="N44" s="343">
        <f>M44/$M$45</f>
        <v>0</v>
      </c>
      <c r="P44" s="344">
        <f>Q20</f>
        <v>0</v>
      </c>
      <c r="Q44" s="345">
        <f t="shared" si="9"/>
        <v>0</v>
      </c>
      <c r="R44" s="307"/>
      <c r="S44" s="306"/>
    </row>
    <row r="45" spans="8:19" x14ac:dyDescent="0.25">
      <c r="H45" s="334"/>
      <c r="I45" s="347" t="s">
        <v>541</v>
      </c>
      <c r="J45" s="348">
        <f>SUM(J35:J44)</f>
        <v>104582.5653944997</v>
      </c>
      <c r="K45" s="348">
        <f t="shared" ref="K45:M45" si="15">SUM(K35:K44)</f>
        <v>50346.356878858023</v>
      </c>
      <c r="L45" s="348">
        <f t="shared" si="15"/>
        <v>3142.5611805079875</v>
      </c>
      <c r="M45" s="348">
        <f t="shared" si="15"/>
        <v>158071.48345386572</v>
      </c>
      <c r="N45" s="343">
        <f>M45/$M$45</f>
        <v>1</v>
      </c>
      <c r="P45" s="349">
        <f>SUM(P35:P44)</f>
        <v>71242.475849126989</v>
      </c>
      <c r="Q45" s="345">
        <f t="shared" si="9"/>
        <v>1</v>
      </c>
      <c r="R45" s="307"/>
      <c r="S45" s="306"/>
    </row>
    <row r="46" spans="8:19" ht="15.75" thickBot="1" x14ac:dyDescent="0.3">
      <c r="H46" s="350"/>
      <c r="I46" s="351"/>
      <c r="J46" s="351"/>
      <c r="K46" s="351"/>
      <c r="L46" s="351"/>
      <c r="M46" s="351"/>
      <c r="N46" s="352"/>
      <c r="P46" s="353"/>
      <c r="Q46" s="354"/>
      <c r="R46" s="307"/>
      <c r="S46" s="306"/>
    </row>
    <row r="47" spans="8:19" ht="15.75" thickBot="1" x14ac:dyDescent="0.3">
      <c r="P47" s="307"/>
      <c r="Q47" s="308"/>
      <c r="R47" s="307"/>
      <c r="S47" s="306"/>
    </row>
    <row r="48" spans="8:19" ht="15.75" thickBot="1" x14ac:dyDescent="0.3">
      <c r="I48" s="355" t="s">
        <v>1618</v>
      </c>
      <c r="J48" s="356">
        <f>(J45+K45)/(J45+K45+P45)</f>
        <v>0.6850066965118855</v>
      </c>
    </row>
    <row r="49" ht="11.25" customHeight="1" x14ac:dyDescent="0.25"/>
  </sheetData>
  <mergeCells count="2">
    <mergeCell ref="H32:N32"/>
    <mergeCell ref="P32:Q32"/>
  </mergeCells>
  <pageMargins left="0.3" right="0.3" top="0.75" bottom="0.75" header="0.3" footer="0.3"/>
  <pageSetup scale="50" pageOrder="overThenDown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C2:F13"/>
  <sheetViews>
    <sheetView workbookViewId="0">
      <selection activeCell="C14" sqref="C14"/>
    </sheetView>
  </sheetViews>
  <sheetFormatPr defaultRowHeight="12.75" x14ac:dyDescent="0.2"/>
  <cols>
    <col min="3" max="3" width="14.7109375" customWidth="1"/>
    <col min="4" max="4" width="17" customWidth="1"/>
    <col min="5" max="5" width="19.140625" customWidth="1"/>
    <col min="7" max="7" width="13.7109375" customWidth="1"/>
  </cols>
  <sheetData>
    <row r="2" spans="3:6" x14ac:dyDescent="0.2">
      <c r="C2" s="3" t="s">
        <v>1</v>
      </c>
      <c r="D2" s="3"/>
      <c r="F2" s="3"/>
    </row>
    <row r="3" spans="3:6" x14ac:dyDescent="0.2">
      <c r="C3" t="s">
        <v>37</v>
      </c>
    </row>
    <row r="4" spans="3:6" x14ac:dyDescent="0.2">
      <c r="C4" t="s">
        <v>4</v>
      </c>
    </row>
    <row r="5" spans="3:6" x14ac:dyDescent="0.2">
      <c r="C5" t="s">
        <v>7</v>
      </c>
    </row>
    <row r="6" spans="3:6" x14ac:dyDescent="0.2">
      <c r="C6" t="s">
        <v>10</v>
      </c>
    </row>
    <row r="7" spans="3:6" x14ac:dyDescent="0.2">
      <c r="C7" t="s">
        <v>12</v>
      </c>
    </row>
    <row r="8" spans="3:6" x14ac:dyDescent="0.2">
      <c r="C8" t="s">
        <v>36</v>
      </c>
    </row>
    <row r="9" spans="3:6" x14ac:dyDescent="0.2">
      <c r="C9" t="s">
        <v>35</v>
      </c>
    </row>
    <row r="10" spans="3:6" x14ac:dyDescent="0.2">
      <c r="C10" t="s">
        <v>15</v>
      </c>
    </row>
    <row r="11" spans="3:6" x14ac:dyDescent="0.2">
      <c r="C11" t="s">
        <v>9</v>
      </c>
    </row>
    <row r="12" spans="3:6" x14ac:dyDescent="0.2">
      <c r="C12" s="44" t="s">
        <v>94</v>
      </c>
    </row>
    <row r="13" spans="3:6" x14ac:dyDescent="0.2">
      <c r="C13" s="44" t="s">
        <v>93</v>
      </c>
    </row>
  </sheetData>
  <phoneticPr fontId="0" type="noConversion"/>
  <dataValidations count="1">
    <dataValidation type="list" allowBlank="1" showInputMessage="1" showErrorMessage="1" sqref="G3">
      <formula1>"District,Region,Corporate"</formula1>
    </dataValidation>
  </dataValidation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C07E963751CB44A1142D119F48F7E6" ma:contentTypeVersion="36" ma:contentTypeDescription="" ma:contentTypeScope="" ma:versionID="da2dd9eb8e76c55f752ae2d0f8c2f9e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2021-06-14T07:00:00+00:00</OpenedDate>
    <SignificantOrder xmlns="dc463f71-b30c-4ab2-9473-d307f9d35888">false</SignificantOrder>
    <Date1 xmlns="dc463f71-b30c-4ab2-9473-d307f9d35888">2021-07-13T07:00:00+00:00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MURREY'S DISPOSAL COMPANY, INC.</CaseCompanyNames>
    <Nickname xmlns="http://schemas.microsoft.com/sharepoint/v3" xsi:nil="true"/>
    <DocketNumber xmlns="dc463f71-b30c-4ab2-9473-d307f9d35888">210459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46EA0B-EE2F-40AC-994D-5DA1504B1CED}"/>
</file>

<file path=customXml/itemProps2.xml><?xml version="1.0" encoding="utf-8"?>
<ds:datastoreItem xmlns:ds="http://schemas.openxmlformats.org/officeDocument/2006/customXml" ds:itemID="{954BD94B-E75A-4CEB-9479-AB2F24C4418E}"/>
</file>

<file path=customXml/itemProps3.xml><?xml version="1.0" encoding="utf-8"?>
<ds:datastoreItem xmlns:ds="http://schemas.openxmlformats.org/officeDocument/2006/customXml" ds:itemID="{85DC164B-7072-4446-9F55-4C535DA5442B}"/>
</file>

<file path=customXml/itemProps4.xml><?xml version="1.0" encoding="utf-8"?>
<ds:datastoreItem xmlns:ds="http://schemas.openxmlformats.org/officeDocument/2006/customXml" ds:itemID="{2D588016-9F27-48E1-91CE-C7B8F09A57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19</vt:i4>
      </vt:variant>
    </vt:vector>
  </HeadingPairs>
  <TitlesOfParts>
    <vt:vector size="26" baseType="lpstr">
      <vt:lpstr>ErrorNote</vt:lpstr>
      <vt:lpstr>COVID EXPENSES</vt:lpstr>
      <vt:lpstr>Murrey's American G-9 Reg.</vt:lpstr>
      <vt:lpstr>Murrey's Rate Sheet</vt:lpstr>
      <vt:lpstr>Proforma Hours Input </vt:lpstr>
      <vt:lpstr>Customers</vt:lpstr>
      <vt:lpstr>ControlPanel</vt:lpstr>
      <vt:lpstr>Accounts</vt:lpstr>
      <vt:lpstr>AmountFrom</vt:lpstr>
      <vt:lpstr>AmountTo</vt:lpstr>
      <vt:lpstr>DateFrom</vt:lpstr>
      <vt:lpstr>DateTo</vt:lpstr>
      <vt:lpstr>Districts</vt:lpstr>
      <vt:lpstr>EntrieShownLimit</vt:lpstr>
      <vt:lpstr>Posting</vt:lpstr>
      <vt:lpstr>'COVID EXPENSES'!Print_Area</vt:lpstr>
      <vt:lpstr>Customers!Print_Area</vt:lpstr>
      <vt:lpstr>'Murrey''s American G-9 Reg.'!Print_Area</vt:lpstr>
      <vt:lpstr>'Murrey''s Rate Sheet'!Print_Area</vt:lpstr>
      <vt:lpstr>'Proforma Hours Input '!Print_Area</vt:lpstr>
      <vt:lpstr>'COVID EXPENSES'!Print_Titles</vt:lpstr>
      <vt:lpstr>'Murrey''s American G-9 Reg.'!Print_Titles</vt:lpstr>
      <vt:lpstr>'Murrey''s Rate Sheet'!Print_Titles</vt:lpstr>
      <vt:lpstr>SubSystems</vt:lpstr>
      <vt:lpstr>Systems</vt:lpstr>
      <vt:lpstr>VendorCode</vt:lpstr>
    </vt:vector>
  </TitlesOfParts>
  <Company>WCI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JE Query With Staged|300</dc:title>
  <dc:subject>1.0.9</dc:subject>
  <dc:creator>Interject</dc:creator>
  <cp:lastModifiedBy>Heather Garland</cp:lastModifiedBy>
  <cp:lastPrinted>2021-06-14T22:52:57Z</cp:lastPrinted>
  <dcterms:created xsi:type="dcterms:W3CDTF">2002-12-13T15:33:53Z</dcterms:created>
  <dcterms:modified xsi:type="dcterms:W3CDTF">2021-07-13T18:31:24Z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ject_LinkID">
    <vt:lpwstr>300</vt:lpwstr>
  </property>
  <property fmtid="{D5CDD505-2E9C-101B-9397-08002B2CF9AE}" pid="3" name="Interject_LinkName">
    <vt:lpwstr>JE Query With Staged</vt:lpwstr>
  </property>
  <property fmtid="{D5CDD505-2E9C-101B-9397-08002B2CF9AE}" pid="4" name="Interject_LinkVersion">
    <vt:lpwstr>1.0.13</vt:lpwstr>
  </property>
  <property fmtid="{D5CDD505-2E9C-101B-9397-08002B2CF9AE}" pid="5" name="ContentTypeId">
    <vt:lpwstr>0x0101006E56B4D1795A2E4DB2F0B01679ED314A00E6C07E963751CB44A1142D119F48F7E6</vt:lpwstr>
  </property>
  <property fmtid="{D5CDD505-2E9C-101B-9397-08002B2CF9AE}" pid="6" name="_docset_NoMedatataSyncRequired">
    <vt:lpwstr>False</vt:lpwstr>
  </property>
  <property fmtid="{D5CDD505-2E9C-101B-9397-08002B2CF9AE}" pid="7" name="IsEFSEC">
    <vt:bool>false</vt:bool>
  </property>
</Properties>
</file>