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J:\Regulatory Filings\2021 Regulatory Filings\2021 EIA Reporting\2021 EEI Report\Annual Emissions Calculations\"/>
    </mc:Choice>
  </mc:AlternateContent>
  <xr:revisionPtr revIDLastSave="0" documentId="13_ncr:1_{95F10307-9831-4A86-867D-226DB105E50A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Summary" sheetId="1" r:id="rId1"/>
    <sheet name="Known Resources" sheetId="4" r:id="rId2"/>
    <sheet name="Unknown Resourc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4" l="1"/>
  <c r="D9" i="4"/>
  <c r="D8" i="4"/>
  <c r="D7" i="4"/>
  <c r="D6" i="4"/>
  <c r="D5" i="4"/>
  <c r="D4" i="4"/>
  <c r="D30" i="4"/>
  <c r="C30" i="4" s="1"/>
  <c r="B18" i="4"/>
  <c r="B17" i="4"/>
  <c r="B16" i="4"/>
  <c r="B15" i="4"/>
  <c r="B14" i="4"/>
  <c r="B13" i="4"/>
  <c r="B12" i="4"/>
  <c r="B11" i="4"/>
  <c r="B10" i="4"/>
  <c r="B9" i="4"/>
  <c r="B7" i="4"/>
  <c r="B6" i="4"/>
  <c r="U9" i="4"/>
  <c r="U8" i="4"/>
  <c r="U7" i="4"/>
  <c r="U6" i="4"/>
  <c r="U5" i="4"/>
  <c r="U4" i="4"/>
  <c r="T8" i="4"/>
  <c r="T7" i="4"/>
  <c r="T5" i="4"/>
  <c r="T6" i="4"/>
  <c r="T9" i="4"/>
  <c r="T4" i="4"/>
  <c r="G23" i="1" l="1"/>
  <c r="G29" i="1"/>
  <c r="G30" i="1"/>
  <c r="G28" i="1"/>
  <c r="F6" i="3" l="1"/>
  <c r="G6" i="3" s="1"/>
  <c r="F7" i="3"/>
  <c r="G7" i="3" s="1"/>
  <c r="F8" i="3"/>
  <c r="F9" i="3"/>
  <c r="F10" i="3"/>
  <c r="F11" i="3"/>
  <c r="F12" i="3"/>
  <c r="F13" i="3"/>
  <c r="F14" i="3"/>
  <c r="F15" i="3"/>
  <c r="F16" i="3"/>
  <c r="F17" i="3"/>
  <c r="F18" i="3"/>
  <c r="F19" i="3"/>
  <c r="G19" i="3" s="1"/>
  <c r="F20" i="3"/>
  <c r="F21" i="3"/>
  <c r="G21" i="3" s="1"/>
  <c r="F22" i="3"/>
  <c r="F23" i="3"/>
  <c r="F24" i="3"/>
  <c r="G24" i="3" s="1"/>
  <c r="F25" i="3"/>
  <c r="G25" i="3" s="1"/>
  <c r="F26" i="3"/>
  <c r="G26" i="3" s="1"/>
  <c r="F27" i="3"/>
  <c r="F28" i="3"/>
  <c r="F29" i="3"/>
  <c r="G29" i="3" s="1"/>
  <c r="F30" i="3"/>
  <c r="F31" i="3"/>
  <c r="F32" i="3"/>
  <c r="F33" i="3"/>
  <c r="F34" i="3"/>
  <c r="F35" i="3"/>
  <c r="F36" i="3"/>
  <c r="F37" i="3"/>
  <c r="F38" i="3"/>
  <c r="G38" i="3" s="1"/>
  <c r="F39" i="3"/>
  <c r="F40" i="3"/>
  <c r="F41" i="3"/>
  <c r="F42" i="3"/>
  <c r="G42" i="3" s="1"/>
  <c r="F43" i="3"/>
  <c r="G43" i="3" s="1"/>
  <c r="F44" i="3"/>
  <c r="F45" i="3"/>
  <c r="G45" i="3" s="1"/>
  <c r="F46" i="3"/>
  <c r="F47" i="3"/>
  <c r="F48" i="3"/>
  <c r="G48" i="3" s="1"/>
  <c r="F49" i="3"/>
  <c r="F50" i="3"/>
  <c r="F51" i="3"/>
  <c r="F52" i="3"/>
  <c r="G52" i="3" s="1"/>
  <c r="F53" i="3"/>
  <c r="F54" i="3"/>
  <c r="G54" i="3" s="1"/>
  <c r="F55" i="3"/>
  <c r="G55" i="3" s="1"/>
  <c r="F56" i="3"/>
  <c r="G56" i="3" s="1"/>
  <c r="F57" i="3"/>
  <c r="G57" i="3" s="1"/>
  <c r="F58" i="3"/>
  <c r="F59" i="3"/>
  <c r="F60" i="3"/>
  <c r="F5" i="3"/>
  <c r="G5" i="3" s="1"/>
  <c r="D36" i="4"/>
  <c r="D37" i="4"/>
  <c r="D38" i="4"/>
  <c r="F62" i="3" l="1"/>
  <c r="D20" i="1" s="1"/>
  <c r="B30" i="4"/>
  <c r="B8" i="4"/>
  <c r="B5" i="4"/>
  <c r="C5" i="4" l="1"/>
  <c r="C8" i="4"/>
  <c r="B4" i="4"/>
  <c r="C4" i="4" l="1"/>
  <c r="B29" i="4"/>
  <c r="B20" i="4" l="1"/>
  <c r="O33" i="4" l="1"/>
  <c r="U33" i="4" s="1"/>
  <c r="V33" i="4" s="1"/>
  <c r="O32" i="4"/>
  <c r="U32" i="4" s="1"/>
  <c r="V32" i="4" s="1"/>
  <c r="C9" i="4" s="1"/>
  <c r="O31" i="4"/>
  <c r="U31" i="4" s="1"/>
  <c r="V31" i="4" s="1"/>
  <c r="O30" i="4"/>
  <c r="U30" i="4" s="1"/>
  <c r="V30" i="4" s="1"/>
  <c r="C7" i="4" s="1"/>
  <c r="O29" i="4"/>
  <c r="U29" i="4" s="1"/>
  <c r="V29" i="4" s="1"/>
  <c r="C6" i="4" s="1"/>
  <c r="O28" i="4"/>
  <c r="U28" i="4" s="1"/>
  <c r="V28" i="4" s="1"/>
  <c r="L27" i="4"/>
  <c r="O27" i="4" s="1"/>
  <c r="U27" i="4" s="1"/>
  <c r="V27" i="4" s="1"/>
  <c r="F27" i="4"/>
  <c r="F28" i="4" s="1"/>
  <c r="F29" i="4" s="1"/>
  <c r="F30" i="4" s="1"/>
  <c r="F31" i="4" s="1"/>
  <c r="F32" i="4" s="1"/>
  <c r="F33" i="4" s="1"/>
  <c r="O26" i="4"/>
  <c r="U26" i="4" s="1"/>
  <c r="V26" i="4" s="1"/>
  <c r="O24" i="4"/>
  <c r="U24" i="4" s="1"/>
  <c r="V24" i="4" s="1"/>
  <c r="D10" i="4"/>
  <c r="B1" i="4" l="1"/>
  <c r="C2" i="4"/>
  <c r="B3" i="4"/>
  <c r="D21" i="1"/>
  <c r="G11" i="1"/>
  <c r="G10" i="1"/>
  <c r="D13" i="1"/>
  <c r="D5" i="1" s="1"/>
  <c r="E10" i="1" l="1"/>
  <c r="E12" i="1"/>
  <c r="E11" i="1"/>
  <c r="B41" i="4"/>
  <c r="D18" i="1" s="1"/>
  <c r="D40" i="4"/>
  <c r="D39" i="4"/>
  <c r="D35" i="4"/>
  <c r="D34" i="4"/>
  <c r="D33" i="4"/>
  <c r="D32" i="4"/>
  <c r="D31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E18" i="1" l="1"/>
  <c r="E20" i="1"/>
  <c r="D41" i="4"/>
  <c r="F18" i="1" l="1"/>
  <c r="E3" i="3" l="1"/>
  <c r="G28" i="3" l="1"/>
  <c r="G35" i="3"/>
  <c r="G50" i="3"/>
  <c r="G22" i="3"/>
  <c r="G40" i="3"/>
  <c r="G59" i="3"/>
  <c r="G23" i="3"/>
  <c r="G41" i="3"/>
  <c r="G13" i="3"/>
  <c r="G12" i="3"/>
  <c r="G16" i="3"/>
  <c r="G53" i="3"/>
  <c r="G60" i="3"/>
  <c r="G20" i="3"/>
  <c r="G27" i="3"/>
  <c r="G46" i="3"/>
  <c r="G18" i="3"/>
  <c r="G32" i="3"/>
  <c r="G51" i="3"/>
  <c r="G11" i="3"/>
  <c r="G37" i="3"/>
  <c r="G9" i="3"/>
  <c r="G44" i="3"/>
  <c r="G15" i="3"/>
  <c r="G34" i="3"/>
  <c r="G14" i="3"/>
  <c r="G39" i="3"/>
  <c r="G33" i="3"/>
  <c r="G36" i="3"/>
  <c r="G47" i="3"/>
  <c r="G58" i="3"/>
  <c r="G30" i="3"/>
  <c r="G10" i="3"/>
  <c r="G8" i="3"/>
  <c r="G31" i="3"/>
  <c r="G49" i="3"/>
  <c r="G17" i="3"/>
  <c r="G62" i="3" l="1"/>
  <c r="F20" i="1" s="1"/>
  <c r="F21" i="1" s="1"/>
  <c r="G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  <author>kbb8737</author>
    <author>jyl3501</author>
    <author>kkb4463</author>
  </authors>
  <commentList>
    <comment ref="U4" authorId="0" shapeId="0" xr:uid="{754656C9-8DB4-4458-82CF-5D14A78E9745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Added adjustment for CH4 and N2O for both units of Rathdrum to Rathdrum Unit 1</t>
        </r>
      </text>
    </comment>
    <comment ref="T7" authorId="0" shapeId="0" xr:uid="{26C5BFFD-284B-4D66-A55E-60AF5B10D4E7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CO2 emissions for Colstrip for Avista’s 15% ownership</t>
        </r>
      </text>
    </comment>
    <comment ref="U7" authorId="0" shapeId="0" xr:uid="{5019BA69-D708-43FD-94B6-C1FA6FA52F9A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Added adjustment for CH4 and N2O for both units of Colstrip to Unit 3</t>
        </r>
      </text>
    </comment>
    <comment ref="I8" authorId="1" shapeId="0" xr:uid="{00000000-0006-0000-0100-000001000000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T8" authorId="0" shapeId="0" xr:uid="{6FC70FD9-0EE4-4727-93E0-D10F24E335F0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CO2 emissions for Colstrip for Avista’s 15% ownership</t>
        </r>
      </text>
    </comment>
    <comment ref="A19" authorId="2" shapeId="0" xr:uid="{00000000-0006-0000-0100-000002000000}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Changed all BPA to unknown per UTC request.</t>
        </r>
      </text>
    </comment>
    <comment ref="J22" authorId="3" shapeId="0" xr:uid="{00000000-0006-0000-0100-000003000000}">
      <text>
        <r>
          <rPr>
            <sz val="8"/>
            <color indexed="81"/>
            <rFont val="Tahoma"/>
            <family val="2"/>
          </rPr>
          <t xml:space="preserve">Avista Corp. 2011 FERC Financial Report, Form No. 1
</t>
        </r>
      </text>
    </comment>
    <comment ref="L22" authorId="3" shapeId="0" xr:uid="{00000000-0006-0000-0100-000004000000}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2" authorId="3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22" authorId="3" shapeId="0" xr:uid="{00000000-0006-0000-0100-000006000000}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2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<sst xmlns="http://schemas.openxmlformats.org/spreadsheetml/2006/main" count="472" uniqueCount="257">
  <si>
    <t>Resource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</si>
  <si>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</si>
  <si>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</si>
  <si>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</si>
  <si>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</si>
  <si>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</si>
  <si>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</si>
  <si>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</si>
  <si>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</si>
  <si>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</si>
  <si>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</si>
  <si>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</si>
  <si>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</si>
  <si>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</si>
  <si>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</si>
  <si>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</si>
  <si>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</si>
  <si>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</si>
  <si>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</si>
  <si>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t>MWh Proportion</t>
  </si>
  <si>
    <t>Percent of</t>
  </si>
  <si>
    <t>Total Load</t>
  </si>
  <si>
    <t>WA MWh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</si>
  <si>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</si>
  <si>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</si>
  <si>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</si>
  <si>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</si>
  <si>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</si>
  <si>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</si>
  <si>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</si>
  <si>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</si>
  <si>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</si>
  <si>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</si>
  <si>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</si>
  <si>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</si>
  <si>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</si>
  <si>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</si>
  <si>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</si>
  <si>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</si>
  <si>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</si>
  <si>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</si>
  <si>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</si>
  <si>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</si>
  <si>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</si>
  <si>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</si>
  <si>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</si>
  <si>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</si>
  <si>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</si>
  <si>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</si>
  <si>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</si>
  <si>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</si>
  <si>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</si>
  <si>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</si>
  <si>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</si>
  <si>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</si>
  <si>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</si>
  <si>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</si>
  <si>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</si>
  <si>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Falls-Hydro*</t>
  </si>
  <si>
    <t>Long Lake-Hydro</t>
  </si>
  <si>
    <t>Upper Falls-Hydro</t>
  </si>
  <si>
    <t>Cabinet Gorge-Hydro</t>
  </si>
  <si>
    <t>Noxon Rapids-Hydro</t>
  </si>
  <si>
    <t>Calculation Based Methodology (Fossil Fuels)</t>
  </si>
  <si>
    <t>Step 1</t>
  </si>
  <si>
    <t>Step 2</t>
  </si>
  <si>
    <t>Step 3</t>
  </si>
  <si>
    <t>Step 4</t>
  </si>
  <si>
    <t>Step 5</t>
  </si>
  <si>
    <t>Step 6</t>
  </si>
  <si>
    <t>Year: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</si>
  <si>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</si>
  <si>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</si>
  <si>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</si>
  <si>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</si>
  <si>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</si>
  <si>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</si>
  <si>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</si>
  <si>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</si>
  <si>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</si>
  <si>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</si>
  <si>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</si>
  <si>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</si>
  <si>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</si>
  <si>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</si>
  <si>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</si>
  <si>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</si>
  <si>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</si>
  <si>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</si>
  <si>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</si>
  <si>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</si>
  <si>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</si>
  <si>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</si>
  <si>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</si>
  <si>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</si>
  <si>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</si>
  <si>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</si>
  <si>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</si>
  <si>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</si>
  <si>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</si>
  <si>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</si>
  <si>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</si>
  <si>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</si>
  <si>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</si>
  <si>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</si>
  <si>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</si>
  <si>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</si>
  <si>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Record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</si>
  <si>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</si>
  <si>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</si>
  <si>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</si>
  <si>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</si>
  <si>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</si>
  <si>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</si>
  <si>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</si>
  <si>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</si>
  <si>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</si>
  <si>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</si>
  <si>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</si>
  <si>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</si>
  <si>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</si>
  <si>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</si>
  <si>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Black Hills Power Inc.</t>
  </si>
  <si>
    <t>BP Energy Co.</t>
  </si>
  <si>
    <t>Brookfield Energy Marketing</t>
  </si>
  <si>
    <t>Calpine Energy Services L.P.</t>
  </si>
  <si>
    <t>Cargill Inc.</t>
  </si>
  <si>
    <t>Chelan County PUD No. 1</t>
  </si>
  <si>
    <t>Clark County PUD No. 1</t>
  </si>
  <si>
    <t>Clatskanie Peoples Util Dist</t>
  </si>
  <si>
    <t>EDF Trading Ltd.</t>
  </si>
  <si>
    <t>Engy Authrty</t>
  </si>
  <si>
    <t>Eugene City of</t>
  </si>
  <si>
    <t>Exelon Generation Company</t>
  </si>
  <si>
    <t>Grant County Public Utility</t>
  </si>
  <si>
    <t>Gridforce Energy Management LLC</t>
  </si>
  <si>
    <t>Iberdrola Renewables LLC</t>
  </si>
  <si>
    <t>Idaho Cnty L&amp;P Coop Assn Inc</t>
  </si>
  <si>
    <t>Idaho Power Co.</t>
  </si>
  <si>
    <t>J. Aron &amp; Co.</t>
  </si>
  <si>
    <t>Kootenai Electric Cooperative</t>
  </si>
  <si>
    <t>Macquarie Energy LLC</t>
  </si>
  <si>
    <t>Morgan Stanley Capital Group</t>
  </si>
  <si>
    <t>NextEra Energy Power Marketing</t>
  </si>
  <si>
    <t>NorthWestern Corp.</t>
  </si>
  <si>
    <t>PacifiCorp</t>
  </si>
  <si>
    <t>Portland General Electric Co.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</si>
  <si>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</si>
  <si>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</si>
  <si>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</si>
  <si>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</si>
  <si>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</si>
  <si>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Puget Sound Energy Inc.</t>
  </si>
  <si>
    <t>Rainbow Energy Marketing Corp</t>
  </si>
  <si>
    <t>Lancaster</t>
  </si>
  <si>
    <t>Seattle City Light</t>
  </si>
  <si>
    <t>Shell Energy North America US</t>
  </si>
  <si>
    <t>SMUD</t>
  </si>
  <si>
    <t>Southern California Edison Co.</t>
  </si>
  <si>
    <t>Sovereign Power</t>
  </si>
  <si>
    <t>Tacoma Public Utilities</t>
  </si>
  <si>
    <t>Talen Energy Marketing, LLC</t>
  </si>
  <si>
    <t>Tenaska Power Services Co.</t>
  </si>
  <si>
    <t>TransAlta Energy Marketing (US</t>
  </si>
  <si>
    <t>Tri-State G &amp; T Assn Inc</t>
  </si>
  <si>
    <t>Bonneville Power Admin (Unknown)</t>
  </si>
  <si>
    <t>Chelan County PUD No. 1 (Rocky Reach Hydro)</t>
  </si>
  <si>
    <t>Deep Creek Energy LLC (PURPA Hydro)</t>
  </si>
  <si>
    <t>Ford Electronics (PURPA Hydro)</t>
  </si>
  <si>
    <t>Hydro Technology Systems Inc (PURPA Hydro)</t>
  </si>
  <si>
    <t>J P Morgan Ventures Energy LLC (Stateline Wind PPA)</t>
  </si>
  <si>
    <t>Jim White (PURPA Hydro)</t>
  </si>
  <si>
    <t>Palouse Wind Holdings (Wind PPA)</t>
  </si>
  <si>
    <t>Phillips Ranch (PURPA Hydro)</t>
  </si>
  <si>
    <t>Sheep Creek Hydro Inc (PURPA Hydro)</t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</si>
  <si>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</si>
  <si>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</si>
  <si>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</si>
  <si>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</si>
  <si>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</si>
  <si>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</si>
  <si>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</si>
  <si>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</si>
  <si>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</si>
  <si>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 xml:space="preserve"> Gross Load (MW-h)</t>
  </si>
  <si>
    <t>ID</t>
  </si>
  <si>
    <t>Rathdrum Power, LLC</t>
  </si>
  <si>
    <t>CTGEN1</t>
  </si>
  <si>
    <t>ARP</t>
  </si>
  <si>
    <t>Spokane City of (Upriver Hydro)</t>
  </si>
  <si>
    <t>Spokane County (Digester)</t>
  </si>
  <si>
    <t>Simson Lumber Co. (PURPA Biomass)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</si>
  <si>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</si>
  <si>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Rathdrum Combustion Turbine Project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</si>
  <si>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</si>
  <si>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</si>
  <si>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</si>
  <si>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</si>
  <si>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</si>
  <si>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</si>
  <si>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</si>
  <si>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</si>
  <si>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Bonneville Power Admin</t>
  </si>
  <si>
    <t>British Columbia Hydro and Power Author</t>
  </si>
  <si>
    <t>Burbank (CA)</t>
  </si>
  <si>
    <t>ConocoPhillips</t>
  </si>
  <si>
    <t>EDF Trading North America LLC</t>
  </si>
  <si>
    <t>Inland Power &amp; Light Co.</t>
  </si>
  <si>
    <t>JP Morgan Ventures Energy Corp</t>
  </si>
  <si>
    <t>J P Morgan Ventures Energy LLC</t>
  </si>
  <si>
    <t>Modesto Irrigation District</t>
  </si>
  <si>
    <t>NaturEner Power Watch LLC</t>
  </si>
  <si>
    <t>Nevada Power Co.</t>
  </si>
  <si>
    <t>Noble America's Gas and Power</t>
  </si>
  <si>
    <t>PPL Montana Holdings LLC</t>
  </si>
  <si>
    <t>Spokane City of</t>
  </si>
  <si>
    <t>Sierra Pacific Power Co.</t>
  </si>
  <si>
    <t>Turlock Irrigation District</t>
  </si>
  <si>
    <t>PUD No 1 of Pend Oreille Cnty (Box Canyon Hydro)</t>
  </si>
  <si>
    <t>Unknown Resources for Washington Customers</t>
  </si>
  <si>
    <t>Net Purchase</t>
  </si>
  <si>
    <t xml:space="preserve">Avista = </t>
  </si>
  <si>
    <t>Updated known resources to include 203,102 of hydro from PUD No 1 of Pend Oreille Cnty</t>
  </si>
  <si>
    <t>Updated known resources to include 2,350 MWh of PURPA landfill gas from Kootenai Electric Cooperative</t>
  </si>
  <si>
    <t>Tons CO2 Emissions from Purchases</t>
  </si>
  <si>
    <t>Net Unknown Purchases (MWh)</t>
  </si>
  <si>
    <t>Net Lbs CO2 from Purchases</t>
  </si>
  <si>
    <t>Known Resources Serving WA - EIA</t>
  </si>
  <si>
    <t>Known Resources Serving WA - EPA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</si>
  <si>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</si>
  <si>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Short Tons CO2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</si>
  <si>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2e</t>
    </r>
  </si>
  <si>
    <t>Metric</t>
  </si>
  <si>
    <r>
      <t>1990 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</si>
  <si>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Calculation Based Methodology</t>
  </si>
  <si>
    <t>N</t>
  </si>
  <si>
    <t>CH4 Emission factor</t>
  </si>
  <si>
    <t>N2O Emission factor</t>
  </si>
  <si>
    <t>Units for 
J</t>
  </si>
  <si>
    <t>CH4 emissions in kg</t>
  </si>
  <si>
    <t xml:space="preserve">N2O emissions in kg </t>
  </si>
  <si>
    <t>Total MT, CO2e</t>
  </si>
  <si>
    <t>M = F * H * L</t>
  </si>
  <si>
    <t>N = F * J * L</t>
  </si>
  <si>
    <t>Description, equity/control, and Step 1 &amp; 2 cells are taken from CO2 worksheet.</t>
  </si>
  <si>
    <t>kg CH4/GJ</t>
  </si>
  <si>
    <t>kg N2O/GJ</t>
  </si>
  <si>
    <t>kg/Mmbtu</t>
  </si>
  <si>
    <t>Mmbtu/bbl</t>
  </si>
  <si>
    <t>Lancaster (Opererational Control)</t>
  </si>
  <si>
    <t>CO2 Metric Tons</t>
  </si>
  <si>
    <t>CO2e Metric Tons</t>
  </si>
  <si>
    <t>Department of Ecology Unknown Resource Deafult Rate =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</si>
  <si>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</si>
  <si>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t xml:space="preserve">Kettle Falls (Biomass)  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</si>
  <si>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</si>
  <si>
    <r>
      <t>Metric Tons CO</t>
    </r>
    <r>
      <rPr>
        <b/>
        <vertAlign val="subscript"/>
        <sz val="11"/>
        <color theme="1"/>
        <rFont val="Calibri"/>
        <family val="2"/>
        <scheme val="minor"/>
      </rPr>
      <t>2e</t>
    </r>
    <r>
      <rPr>
        <b/>
        <sz val="11"/>
        <color theme="1"/>
        <rFont val="Calibri"/>
        <family val="2"/>
        <scheme val="minor"/>
      </rPr>
      <t>/MWh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</si>
</sst>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0.0"/>
    <numFmt numFmtId="168" formatCode="0.000"/>
    <numFmt numFmtId="169" formatCode="#,##0.000"/>
    <numFmt numFmtId="170" formatCode="#,##0.0"/>
    <numFmt numFmtId="171" formatCode="#####0;\(#####0\)"/>
    <numFmt numFmtId="172" formatCode="###,##0.000;\(###,##0.000\)"/>
    <numFmt numFmtId="173" formatCode="###,##0;\(###,##0\)"/>
    <numFmt numFmtId="174" formatCode="_(* #,##0.000_);_(* \(#,##0.0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12"/>
      <color indexed="16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2" fillId="0" borderId="0"/>
    <xf numFmtId="0" fontId="21" fillId="0" borderId="0" applyNumberFormat="0" applyFill="0" applyBorder="0" applyAlignment="0" applyProtection="0"/>
    <xf numFmtId="0" fontId="12" fillId="0" borderId="0"/>
  </cellStyleXfs>
  <cellXfs count="177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9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0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1" xfId="0" applyBorder="1"/>
    <xf numFmtId="165" fontId="2" fillId="0" borderId="8" xfId="1" applyNumberFormat="1" applyFont="1" applyBorder="1"/>
    <xf numFmtId="165" fontId="2" fillId="0" borderId="31" xfId="0" applyNumberFormat="1" applyFont="1" applyBorder="1"/>
    <xf numFmtId="0" fontId="2" fillId="0" borderId="32" xfId="0" applyFont="1" applyBorder="1" applyAlignment="1">
      <alignment horizontal="center"/>
    </xf>
    <xf numFmtId="166" fontId="2" fillId="0" borderId="33" xfId="2" applyNumberFormat="1" applyFont="1" applyBorder="1" applyAlignment="1">
      <alignment horizontal="center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167" fontId="11" fillId="3" borderId="2" xfId="0" applyNumberFormat="1" applyFont="1" applyFill="1" applyBorder="1" applyAlignment="1" applyProtection="1">
      <alignment horizontal="center" vertical="center"/>
      <protection locked="0"/>
    </xf>
    <xf numFmtId="3" fontId="10" fillId="4" borderId="2" xfId="1" applyNumberFormat="1" applyFont="1" applyFill="1" applyBorder="1" applyAlignment="1" applyProtection="1">
      <alignment horizontal="center" vertical="center"/>
      <protection locked="0"/>
    </xf>
    <xf numFmtId="3" fontId="10" fillId="4" borderId="2" xfId="1" quotePrefix="1" applyNumberFormat="1" applyFont="1" applyFill="1" applyBorder="1" applyAlignment="1" applyProtection="1">
      <alignment horizontal="center" vertical="center"/>
      <protection locked="0"/>
    </xf>
    <xf numFmtId="167" fontId="11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Alignment="1">
      <alignment horizontal="left"/>
    </xf>
    <xf numFmtId="0" fontId="0" fillId="5" borderId="0" xfId="0" applyFill="1" applyBorder="1"/>
    <xf numFmtId="2" fontId="0" fillId="5" borderId="0" xfId="0" applyNumberFormat="1" applyFont="1" applyFill="1" applyBorder="1"/>
    <xf numFmtId="4" fontId="16" fillId="0" borderId="8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2" fontId="0" fillId="5" borderId="37" xfId="0" applyNumberFormat="1" applyFont="1" applyFill="1" applyBorder="1"/>
    <xf numFmtId="2" fontId="16" fillId="0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4" fontId="16" fillId="0" borderId="38" xfId="0" applyNumberFormat="1" applyFont="1" applyFill="1" applyBorder="1" applyAlignment="1">
      <alignment horizontal="center" vertical="center"/>
    </xf>
    <xf numFmtId="4" fontId="16" fillId="0" borderId="38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7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68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9" fontId="12" fillId="5" borderId="2" xfId="2" applyFont="1" applyFill="1" applyBorder="1" applyAlignment="1" applyProtection="1">
      <alignment horizontal="center" vertical="center" wrapText="1"/>
      <protection locked="0"/>
    </xf>
    <xf numFmtId="2" fontId="12" fillId="5" borderId="2" xfId="2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/>
      <protection locked="0"/>
    </xf>
    <xf numFmtId="2" fontId="19" fillId="6" borderId="0" xfId="0" applyNumberFormat="1" applyFont="1" applyFill="1" applyBorder="1" applyAlignment="1" applyProtection="1">
      <alignment horizontal="center" vertical="center"/>
      <protection locked="0"/>
    </xf>
    <xf numFmtId="4" fontId="20" fillId="6" borderId="2" xfId="0" applyNumberFormat="1" applyFont="1" applyFill="1" applyBorder="1" applyAlignment="1" applyProtection="1">
      <alignment horizontal="center" vertical="center"/>
      <protection locked="0"/>
    </xf>
    <xf numFmtId="2" fontId="20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2" xfId="0" applyFont="1" applyFill="1" applyBorder="1" applyAlignment="1" applyProtection="1">
      <alignment horizontal="center" vertical="center" wrapText="1"/>
      <protection locked="0"/>
    </xf>
    <xf numFmtId="0" fontId="20" fillId="6" borderId="3" xfId="0" applyFont="1" applyFill="1" applyBorder="1" applyAlignment="1" applyProtection="1">
      <alignment horizontal="center" vertical="center" wrapText="1"/>
      <protection locked="0"/>
    </xf>
    <xf numFmtId="2" fontId="20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9" fontId="12" fillId="8" borderId="2" xfId="2" applyFont="1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69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2" fillId="9" borderId="2" xfId="0" applyNumberFormat="1" applyFont="1" applyFill="1" applyBorder="1" applyAlignment="1" applyProtection="1">
      <alignment horizontal="center" vertical="center" wrapText="1"/>
      <protection locked="0"/>
    </xf>
    <xf numFmtId="170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9" fontId="1" fillId="4" borderId="2" xfId="2" applyFill="1" applyBorder="1" applyAlignment="1" applyProtection="1">
      <alignment horizontal="center" vertical="center"/>
      <protection locked="0"/>
    </xf>
    <xf numFmtId="0" fontId="12" fillId="0" borderId="0" xfId="4" applyAlignment="1">
      <alignment horizontal="left"/>
    </xf>
    <xf numFmtId="171" fontId="12" fillId="0" borderId="0" xfId="4" applyNumberFormat="1" applyAlignment="1">
      <alignment horizontal="left"/>
    </xf>
    <xf numFmtId="172" fontId="12" fillId="0" borderId="0" xfId="4" applyNumberFormat="1" applyAlignment="1">
      <alignment horizontal="right"/>
    </xf>
    <xf numFmtId="173" fontId="12" fillId="0" borderId="0" xfId="4" applyNumberFormat="1" applyAlignment="1">
      <alignment horizontal="right"/>
    </xf>
    <xf numFmtId="43" fontId="0" fillId="2" borderId="2" xfId="1" applyNumberFormat="1" applyFont="1" applyFill="1" applyBorder="1"/>
    <xf numFmtId="11" fontId="0" fillId="0" borderId="0" xfId="0" applyNumberFormat="1"/>
    <xf numFmtId="0" fontId="21" fillId="0" borderId="0" xfId="5"/>
    <xf numFmtId="0" fontId="12" fillId="0" borderId="0" xfId="6"/>
    <xf numFmtId="0" fontId="12" fillId="0" borderId="0" xfId="6" applyAlignment="1">
      <alignment horizontal="left"/>
    </xf>
    <xf numFmtId="173" fontId="12" fillId="0" borderId="0" xfId="6" applyNumberFormat="1" applyAlignment="1">
      <alignment horizontal="right"/>
    </xf>
    <xf numFmtId="173" fontId="0" fillId="0" borderId="0" xfId="0" applyNumberFormat="1"/>
    <xf numFmtId="43" fontId="0" fillId="0" borderId="0" xfId="0" applyNumberFormat="1"/>
    <xf numFmtId="0" fontId="24" fillId="0" borderId="0" xfId="3" applyFont="1"/>
    <xf numFmtId="0" fontId="0" fillId="0" borderId="0" xfId="0" applyAlignment="1">
      <alignment wrapText="1"/>
    </xf>
    <xf numFmtId="0" fontId="2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165" fontId="0" fillId="0" borderId="0" xfId="1" applyNumberFormat="1" applyFont="1"/>
    <xf numFmtId="165" fontId="0" fillId="0" borderId="0" xfId="0" applyNumberFormat="1"/>
    <xf numFmtId="165" fontId="0" fillId="0" borderId="0" xfId="1" applyNumberFormat="1" applyFont="1" applyAlignment="1">
      <alignment wrapText="1"/>
    </xf>
    <xf numFmtId="165" fontId="0" fillId="0" borderId="8" xfId="1" applyNumberFormat="1" applyFont="1" applyBorder="1"/>
    <xf numFmtId="0" fontId="0" fillId="10" borderId="0" xfId="0" applyFill="1"/>
    <xf numFmtId="174" fontId="0" fillId="2" borderId="10" xfId="1" applyNumberFormat="1" applyFont="1" applyFill="1" applyBorder="1"/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4" fontId="16" fillId="0" borderId="8" xfId="0" applyNumberFormat="1" applyFont="1" applyFill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 vertical="center"/>
    </xf>
    <xf numFmtId="4" fontId="16" fillId="0" borderId="3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right"/>
    </xf>
    <xf numFmtId="0" fontId="0" fillId="0" borderId="0" xfId="0" applyAlignment="1">
      <alignment horizontal="right"/>
    </xf>
    <xf numFmtId="43" fontId="0" fillId="0" borderId="0" xfId="1" applyFont="1"/>
    <xf numFmtId="174" fontId="0" fillId="10" borderId="0" xfId="0" applyNumberFormat="1" applyFill="1"/>
    <xf numFmtId="174" fontId="0" fillId="0" borderId="0" xfId="0" applyNumberFormat="1"/>
  </cellXfs>
  <cellStyles count="7">
    <cellStyle name="Comma" xfId="1" builtinId="3"/>
    <cellStyle name="Normal" xfId="0" builtinId="0"/>
    <cellStyle name="Normal 2" xfId="4" xr:uid="{00000000-0005-0000-0000-000002000000}"/>
    <cellStyle name="Normal 3" xfId="6" xr:uid="{00000000-0005-0000-0000-000003000000}"/>
    <cellStyle name="Percent" xfId="2" builtinId="5"/>
    <cellStyle name="Style 22" xfId="3" xr:uid="{00000000-0005-0000-0000-000005000000}"/>
    <cellStyle name="Style 22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23</xdr:row>
      <xdr:rowOff>0</xdr:rowOff>
    </xdr:from>
    <xdr:to>
      <xdr:col>6</xdr:col>
      <xdr:colOff>533400</xdr:colOff>
      <xdr:row>24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D20" sqref="D20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</cols>
  <sheetData>
    <row r="1" spans="1:7" ht="18.75" x14ac:dyDescent="0.3">
      <c r="A1" s="3" t="s">
        <v>3</v>
      </c>
    </row>
    <row r="2" spans="1:7" ht="15.75" thickBot="1" x14ac:dyDescent="0.3"/>
    <row r="3" spans="1:7" x14ac:dyDescent="0.25">
      <c r="A3" s="54"/>
      <c r="B3" s="55" t="s">
        <v>7</v>
      </c>
      <c r="C3" s="56" t="s">
        <v>15</v>
      </c>
      <c r="D3" s="61"/>
      <c r="E3" s="59"/>
    </row>
    <row r="4" spans="1:7" x14ac:dyDescent="0.25">
      <c r="A4" s="162" t="s">
        <v>8</v>
      </c>
      <c r="B4" s="164"/>
      <c r="C4" s="32">
        <v>2014</v>
      </c>
      <c r="D4" s="64" t="s">
        <v>28</v>
      </c>
      <c r="E4" s="60"/>
    </row>
    <row r="5" spans="1:7" ht="15.75" thickBot="1" x14ac:dyDescent="0.3">
      <c r="A5" s="165" t="s">
        <v>13</v>
      </c>
      <c r="B5" s="166"/>
      <c r="C5" s="57">
        <v>523053</v>
      </c>
      <c r="D5" s="58">
        <f>+D13/C5</f>
        <v>10.839681638380814</v>
      </c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2" t="s">
        <v>25</v>
      </c>
      <c r="C7" s="16"/>
      <c r="E7" s="15"/>
    </row>
    <row r="8" spans="1:7" x14ac:dyDescent="0.25">
      <c r="A8" s="34"/>
      <c r="B8" s="35"/>
      <c r="C8" s="35"/>
      <c r="D8" s="35"/>
      <c r="E8" s="35"/>
      <c r="F8" s="36" t="s">
        <v>12</v>
      </c>
      <c r="G8" s="47" t="s">
        <v>29</v>
      </c>
    </row>
    <row r="9" spans="1:7" x14ac:dyDescent="0.25">
      <c r="A9" s="37"/>
      <c r="B9" s="11"/>
      <c r="C9" s="11"/>
      <c r="D9" s="13" t="s">
        <v>6</v>
      </c>
      <c r="E9" s="25" t="s">
        <v>19</v>
      </c>
      <c r="F9" s="18" t="s">
        <v>24</v>
      </c>
      <c r="G9" s="48" t="s">
        <v>12</v>
      </c>
    </row>
    <row r="10" spans="1:7" x14ac:dyDescent="0.25">
      <c r="A10" s="162" t="s">
        <v>4</v>
      </c>
      <c r="B10" s="163"/>
      <c r="C10" s="164"/>
      <c r="D10" s="62">
        <v>2500515</v>
      </c>
      <c r="E10" s="12">
        <f>+D10/D13</f>
        <v>0.44102909345915714</v>
      </c>
      <c r="F10" s="33">
        <v>215617</v>
      </c>
      <c r="G10" s="49">
        <f>+D10/F10</f>
        <v>11.597021570655375</v>
      </c>
    </row>
    <row r="11" spans="1:7" x14ac:dyDescent="0.25">
      <c r="A11" s="162" t="s">
        <v>9</v>
      </c>
      <c r="B11" s="163"/>
      <c r="C11" s="164"/>
      <c r="D11" s="62">
        <v>2166691</v>
      </c>
      <c r="E11" s="12">
        <f>+D11/D13</f>
        <v>0.38215078395295154</v>
      </c>
      <c r="F11" s="27">
        <v>24051</v>
      </c>
      <c r="G11" s="49">
        <f>+D11/F11</f>
        <v>90.0873560350921</v>
      </c>
    </row>
    <row r="12" spans="1:7" x14ac:dyDescent="0.25">
      <c r="A12" s="162" t="s">
        <v>10</v>
      </c>
      <c r="B12" s="163"/>
      <c r="C12" s="164"/>
      <c r="D12" s="62">
        <v>1002522</v>
      </c>
      <c r="E12" s="12">
        <f>+D12/D13</f>
        <v>0.17682012258789134</v>
      </c>
      <c r="F12" s="5"/>
      <c r="G12" s="38"/>
    </row>
    <row r="13" spans="1:7" ht="15.75" thickBot="1" x14ac:dyDescent="0.3">
      <c r="A13" s="39"/>
      <c r="B13" s="167" t="s">
        <v>5</v>
      </c>
      <c r="C13" s="166"/>
      <c r="D13" s="63">
        <f>SUM(D10:D12)</f>
        <v>5669728</v>
      </c>
      <c r="E13" s="40"/>
      <c r="F13" s="41"/>
      <c r="G13" s="42"/>
    </row>
    <row r="15" spans="1:7" ht="19.5" thickBot="1" x14ac:dyDescent="0.35">
      <c r="B15" s="53" t="s">
        <v>26</v>
      </c>
    </row>
    <row r="16" spans="1:7" x14ac:dyDescent="0.25">
      <c r="A16" s="34"/>
      <c r="B16" s="35"/>
      <c r="C16" s="35"/>
      <c r="D16" s="35"/>
      <c r="E16" s="36" t="s">
        <v>20</v>
      </c>
      <c r="F16" s="43" t="s">
        <v>232</v>
      </c>
      <c r="G16" s="44"/>
    </row>
    <row r="17" spans="1:8" ht="18" x14ac:dyDescent="0.35">
      <c r="A17" s="45"/>
      <c r="B17" s="5"/>
      <c r="C17" s="5"/>
      <c r="D17" s="25" t="s">
        <v>11</v>
      </c>
      <c r="E17" s="18" t="s">
        <v>21</v>
      </c>
      <c r="F17" s="14" t="s">
        <v>1</v>
      </c>
      <c r="G17" s="38"/>
    </row>
    <row r="18" spans="1:8" x14ac:dyDescent="0.25">
      <c r="A18" s="162" t="s">
        <v>228</v>
      </c>
      <c r="B18" s="163"/>
      <c r="C18" s="164"/>
      <c r="D18" s="6">
        <f>+'Known Resources'!B41*0.65</f>
        <v>6692001.1047499999</v>
      </c>
      <c r="E18" s="12">
        <f>+D18/(D18+D20)</f>
        <v>1.0845431556535401</v>
      </c>
      <c r="F18" s="6">
        <f>+'Known Resources'!D41*0.65</f>
        <v>1672700.366803614</v>
      </c>
      <c r="G18" s="38"/>
    </row>
    <row r="19" spans="1:8" ht="15.75" thickBot="1" x14ac:dyDescent="0.3">
      <c r="A19" s="162" t="s">
        <v>227</v>
      </c>
      <c r="B19" s="163"/>
      <c r="C19" s="164"/>
      <c r="D19" s="6"/>
      <c r="E19" s="12"/>
      <c r="F19" s="159"/>
      <c r="G19" s="38"/>
    </row>
    <row r="20" spans="1:8" ht="18" x14ac:dyDescent="0.35">
      <c r="A20" s="162" t="s">
        <v>23</v>
      </c>
      <c r="B20" s="163"/>
      <c r="C20" s="164"/>
      <c r="D20" s="50">
        <f>+('Unknown Resources'!F62)*0.65</f>
        <v>-521660.10000000003</v>
      </c>
      <c r="E20" s="51">
        <f>+D20/(D18+D20)</f>
        <v>-8.4543155653540064E-2</v>
      </c>
      <c r="F20" s="66">
        <f>+'Unknown Resources'!G62*0.65</f>
        <v>49.909340231579463</v>
      </c>
      <c r="G20" s="68" t="s">
        <v>27</v>
      </c>
    </row>
    <row r="21" spans="1:8" ht="18.75" thickBot="1" x14ac:dyDescent="0.4">
      <c r="A21" s="39"/>
      <c r="B21" s="41"/>
      <c r="C21" s="41"/>
      <c r="D21" s="65">
        <f>+C4</f>
        <v>2014</v>
      </c>
      <c r="E21" s="46" t="s">
        <v>231</v>
      </c>
      <c r="F21" s="67">
        <f>SUM(F18:F20)</f>
        <v>1672750.2761438456</v>
      </c>
      <c r="G21" s="69">
        <f>+F21/G23</f>
        <v>1.6289246229259249</v>
      </c>
    </row>
    <row r="22" spans="1:8" ht="18" x14ac:dyDescent="0.35">
      <c r="A22" t="s">
        <v>192</v>
      </c>
    </row>
    <row r="23" spans="1:8" ht="18" x14ac:dyDescent="0.35">
      <c r="F23" s="17" t="s">
        <v>233</v>
      </c>
      <c r="G23" s="27">
        <f>G28</f>
        <v>1026904.6539054703</v>
      </c>
      <c r="H23" s="24"/>
    </row>
    <row r="25" spans="1:8" x14ac:dyDescent="0.25">
      <c r="C25" s="24" t="s">
        <v>14</v>
      </c>
      <c r="F25" s="19"/>
      <c r="G25" s="19"/>
    </row>
    <row r="26" spans="1:8" x14ac:dyDescent="0.25">
      <c r="E26" s="19"/>
      <c r="F26" s="19"/>
      <c r="G26" s="22" t="s">
        <v>18</v>
      </c>
    </row>
    <row r="27" spans="1:8" ht="18" x14ac:dyDescent="0.35">
      <c r="E27" s="19"/>
      <c r="F27" s="19"/>
      <c r="G27" s="23" t="s">
        <v>229</v>
      </c>
      <c r="H27" t="s">
        <v>230</v>
      </c>
    </row>
    <row r="28" spans="1:8" x14ac:dyDescent="0.25">
      <c r="E28" s="19"/>
      <c r="F28" s="20" t="s">
        <v>15</v>
      </c>
      <c r="G28" s="21">
        <f>H28/1.1023</f>
        <v>1026904.6539054703</v>
      </c>
      <c r="H28" s="21">
        <v>1131957</v>
      </c>
    </row>
    <row r="29" spans="1:8" x14ac:dyDescent="0.25">
      <c r="E29" s="19"/>
      <c r="F29" s="20" t="s">
        <v>16</v>
      </c>
      <c r="G29" s="21">
        <f t="shared" ref="G29:G30" si="0">H29/1.1023</f>
        <v>2176429.2842238955</v>
      </c>
      <c r="H29" s="21">
        <v>2399078</v>
      </c>
    </row>
    <row r="30" spans="1:8" x14ac:dyDescent="0.25">
      <c r="E30" s="19"/>
      <c r="F30" s="20" t="s">
        <v>17</v>
      </c>
      <c r="G30" s="21">
        <f t="shared" si="0"/>
        <v>6301427.9234328223</v>
      </c>
      <c r="H30" s="21">
        <v>6946064</v>
      </c>
    </row>
  </sheetData>
  <mergeCells count="9">
    <mergeCell ref="A18:C18"/>
    <mergeCell ref="A20:C20"/>
    <mergeCell ref="A4:B4"/>
    <mergeCell ref="A5:B5"/>
    <mergeCell ref="A10:C10"/>
    <mergeCell ref="A11:C11"/>
    <mergeCell ref="A12:C12"/>
    <mergeCell ref="B13:C13"/>
    <mergeCell ref="A19:C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0"/>
  <sheetViews>
    <sheetView topLeftCell="A25" workbookViewId="0">
      <selection activeCell="C41" sqref="C41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6" max="7" width="25" bestFit="1" customWidth="1"/>
    <col min="8" max="8" width="10.5703125" customWidth="1"/>
    <col min="9" max="9" width="10.85546875" bestFit="1" customWidth="1"/>
    <col min="20" max="20" width="15.42578125" bestFit="1" customWidth="1"/>
    <col min="21" max="21" width="25.7109375" bestFit="1" customWidth="1"/>
  </cols>
  <sheetData>
    <row r="1" spans="1:22" ht="18.75" x14ac:dyDescent="0.3">
      <c r="A1" s="3" t="s">
        <v>2</v>
      </c>
      <c r="B1" s="31">
        <f>+Summary!C4</f>
        <v>2014</v>
      </c>
    </row>
    <row r="2" spans="1:22" ht="18.75" x14ac:dyDescent="0.3">
      <c r="A2" s="3"/>
      <c r="B2" s="7" t="s">
        <v>22</v>
      </c>
      <c r="C2" s="7">
        <f>+Summary!C4</f>
        <v>2014</v>
      </c>
      <c r="D2" s="7" t="s">
        <v>232</v>
      </c>
    </row>
    <row r="3" spans="1:22" ht="19.5" x14ac:dyDescent="0.35">
      <c r="A3" s="4" t="s">
        <v>0</v>
      </c>
      <c r="B3" s="8">
        <f>+Summary!C4</f>
        <v>2014</v>
      </c>
      <c r="C3" s="8" t="s">
        <v>256</v>
      </c>
      <c r="D3" s="8" t="s">
        <v>255</v>
      </c>
      <c r="E3" s="2"/>
      <c r="F3" s="70" t="s">
        <v>44</v>
      </c>
      <c r="G3" s="71">
        <v>222</v>
      </c>
      <c r="H3" s="70" t="s">
        <v>45</v>
      </c>
      <c r="I3" s="72">
        <v>1464025</v>
      </c>
      <c r="K3" t="s">
        <v>175</v>
      </c>
      <c r="L3" t="s">
        <v>176</v>
      </c>
      <c r="M3" t="s">
        <v>177</v>
      </c>
      <c r="N3" t="s">
        <v>178</v>
      </c>
      <c r="O3" t="s">
        <v>179</v>
      </c>
      <c r="P3" t="s">
        <v>180</v>
      </c>
      <c r="Q3" t="s">
        <v>181</v>
      </c>
      <c r="R3" t="s">
        <v>184</v>
      </c>
      <c r="S3" t="s">
        <v>182</v>
      </c>
      <c r="T3" t="s">
        <v>250</v>
      </c>
      <c r="U3" t="s">
        <v>251</v>
      </c>
      <c r="V3" t="s">
        <v>183</v>
      </c>
    </row>
    <row r="4" spans="1:22" x14ac:dyDescent="0.25">
      <c r="A4" s="26" t="s">
        <v>30</v>
      </c>
      <c r="B4" s="27">
        <f>0.15*(R7+R8)</f>
        <v>1583639.325</v>
      </c>
      <c r="C4" s="143">
        <f>(D4*2000)/B4</f>
        <v>1942.4433150972832</v>
      </c>
      <c r="D4" s="6">
        <f>U7+U8</f>
        <v>1538064.8101857118</v>
      </c>
      <c r="F4" s="70" t="s">
        <v>46</v>
      </c>
      <c r="G4" s="71">
        <v>149</v>
      </c>
      <c r="H4" s="70" t="s">
        <v>47</v>
      </c>
      <c r="I4" s="72">
        <v>12789</v>
      </c>
      <c r="K4" t="s">
        <v>185</v>
      </c>
      <c r="L4" t="s">
        <v>193</v>
      </c>
      <c r="M4">
        <v>7456</v>
      </c>
      <c r="N4">
        <v>1</v>
      </c>
      <c r="P4">
        <v>2014</v>
      </c>
      <c r="Q4" t="s">
        <v>188</v>
      </c>
      <c r="R4">
        <v>4264.8999999999996</v>
      </c>
      <c r="S4">
        <v>2512.5940000000001</v>
      </c>
      <c r="T4" s="174">
        <f>S4/1.1023</f>
        <v>2279.4103238682756</v>
      </c>
      <c r="U4" s="174">
        <f>T4+Y44</f>
        <v>2288.0191988442757</v>
      </c>
      <c r="V4">
        <v>42283.550999999999</v>
      </c>
    </row>
    <row r="5" spans="1:22" x14ac:dyDescent="0.25">
      <c r="A5" s="28" t="s">
        <v>31</v>
      </c>
      <c r="B5" s="27">
        <f>R4+R5</f>
        <v>13587.199999999999</v>
      </c>
      <c r="C5" s="143">
        <f>(D5*2000)/B5</f>
        <v>1113.2139451159519</v>
      </c>
      <c r="D5" s="6">
        <f>U4+U5</f>
        <v>7562.7302575397307</v>
      </c>
      <c r="F5" s="70" t="s">
        <v>48</v>
      </c>
      <c r="G5" s="71">
        <v>61.2</v>
      </c>
      <c r="H5" s="70" t="s">
        <v>47</v>
      </c>
      <c r="I5" s="72">
        <v>2431</v>
      </c>
      <c r="K5" t="s">
        <v>185</v>
      </c>
      <c r="L5" t="s">
        <v>193</v>
      </c>
      <c r="M5">
        <v>7456</v>
      </c>
      <c r="N5">
        <v>2</v>
      </c>
      <c r="P5">
        <v>2014</v>
      </c>
      <c r="Q5" t="s">
        <v>188</v>
      </c>
      <c r="R5">
        <v>9322.2999999999993</v>
      </c>
      <c r="S5">
        <v>5814.3140000000003</v>
      </c>
      <c r="T5" s="174">
        <f t="shared" ref="T5:T9" si="0">S5/1.1023</f>
        <v>5274.711058695455</v>
      </c>
      <c r="U5" s="174">
        <f>T5</f>
        <v>5274.711058695455</v>
      </c>
      <c r="V5">
        <v>97839.365999999995</v>
      </c>
    </row>
    <row r="6" spans="1:22" x14ac:dyDescent="0.25">
      <c r="A6" s="28" t="s">
        <v>32</v>
      </c>
      <c r="B6" s="27">
        <f>I5</f>
        <v>2431</v>
      </c>
      <c r="C6" s="143">
        <f t="shared" ref="C6:C9" si="1">(V29*2204.62262)/B6</f>
        <v>1455.636414763597</v>
      </c>
      <c r="D6" s="6">
        <f>V29+Y45</f>
        <v>1606.6877422404</v>
      </c>
      <c r="F6" s="70" t="s">
        <v>49</v>
      </c>
      <c r="G6" s="71">
        <v>24</v>
      </c>
      <c r="H6" s="70" t="s">
        <v>47</v>
      </c>
      <c r="I6" s="72">
        <v>14811</v>
      </c>
      <c r="K6" t="s">
        <v>185</v>
      </c>
      <c r="L6" t="s">
        <v>186</v>
      </c>
      <c r="M6">
        <v>55179</v>
      </c>
      <c r="N6" t="s">
        <v>187</v>
      </c>
      <c r="P6">
        <v>2014</v>
      </c>
      <c r="Q6" t="s">
        <v>188</v>
      </c>
      <c r="R6">
        <v>1219295.5</v>
      </c>
      <c r="S6">
        <v>506846.63299999997</v>
      </c>
      <c r="T6" s="174">
        <f t="shared" si="0"/>
        <v>459808.24911548576</v>
      </c>
      <c r="U6" s="174">
        <f>T6+Y50</f>
        <v>460421.86177270178</v>
      </c>
      <c r="V6">
        <v>8528691.7180000003</v>
      </c>
    </row>
    <row r="7" spans="1:22" x14ac:dyDescent="0.25">
      <c r="A7" s="28" t="s">
        <v>33</v>
      </c>
      <c r="B7" s="27">
        <f>I6</f>
        <v>14811</v>
      </c>
      <c r="C7" s="143">
        <f t="shared" si="1"/>
        <v>1118.6973792512031</v>
      </c>
      <c r="D7" s="6">
        <f>V30+Y46</f>
        <v>7522.992218642401</v>
      </c>
      <c r="F7" s="70" t="s">
        <v>50</v>
      </c>
      <c r="G7" s="71">
        <v>278.3</v>
      </c>
      <c r="H7" s="70" t="s">
        <v>47</v>
      </c>
      <c r="I7" s="72">
        <v>1494579</v>
      </c>
      <c r="K7" t="s">
        <v>194</v>
      </c>
      <c r="L7" t="s">
        <v>195</v>
      </c>
      <c r="M7">
        <v>6076</v>
      </c>
      <c r="N7">
        <v>3</v>
      </c>
      <c r="P7">
        <v>2014</v>
      </c>
      <c r="Q7" t="s">
        <v>188</v>
      </c>
      <c r="R7">
        <v>5006380.95</v>
      </c>
      <c r="S7">
        <v>5333124.6880000001</v>
      </c>
      <c r="T7" s="174">
        <f>(0.15*S7)/1.1023</f>
        <v>725726.84677492513</v>
      </c>
      <c r="U7" s="174">
        <f>T7+Y42+Y43</f>
        <v>737184.10311867017</v>
      </c>
      <c r="V7" s="144">
        <v>50849818.538999997</v>
      </c>
    </row>
    <row r="8" spans="1:22" x14ac:dyDescent="0.25">
      <c r="A8" s="28" t="s">
        <v>34</v>
      </c>
      <c r="B8" s="27">
        <f>R9</f>
        <v>1518640.29</v>
      </c>
      <c r="C8" s="143">
        <f>(D8*2000)/B8</f>
        <v>734.89417637516863</v>
      </c>
      <c r="D8" s="6">
        <f>U9</f>
        <v>558019.9525648487</v>
      </c>
      <c r="F8" s="70" t="s">
        <v>51</v>
      </c>
      <c r="G8" s="71">
        <v>6.9</v>
      </c>
      <c r="H8" s="70" t="s">
        <v>47</v>
      </c>
      <c r="I8" s="73">
        <v>4066</v>
      </c>
      <c r="K8" t="s">
        <v>194</v>
      </c>
      <c r="L8" t="s">
        <v>195</v>
      </c>
      <c r="M8">
        <v>6076</v>
      </c>
      <c r="N8">
        <v>4</v>
      </c>
      <c r="P8">
        <v>2014</v>
      </c>
      <c r="Q8" t="s">
        <v>188</v>
      </c>
      <c r="R8">
        <v>5551214.5499999998</v>
      </c>
      <c r="S8">
        <v>5885405.3559999997</v>
      </c>
      <c r="T8" s="174">
        <f>(0.15*S8)/1.1023</f>
        <v>800880.70706704154</v>
      </c>
      <c r="U8" s="174">
        <f>T8</f>
        <v>800880.70706704154</v>
      </c>
      <c r="V8" s="144">
        <v>56115653.637000002</v>
      </c>
    </row>
    <row r="9" spans="1:22" x14ac:dyDescent="0.25">
      <c r="A9" s="28" t="s">
        <v>35</v>
      </c>
      <c r="B9" s="27">
        <f>I8</f>
        <v>4066</v>
      </c>
      <c r="C9" s="143">
        <f t="shared" si="1"/>
        <v>100.83012107663042</v>
      </c>
      <c r="D9" s="6">
        <f>V32+Y48</f>
        <v>186.1449561828</v>
      </c>
      <c r="F9" s="70" t="s">
        <v>52</v>
      </c>
      <c r="G9" s="74">
        <v>50</v>
      </c>
      <c r="H9" s="70" t="s">
        <v>53</v>
      </c>
      <c r="I9" s="72">
        <v>259377</v>
      </c>
      <c r="K9" t="s">
        <v>196</v>
      </c>
      <c r="L9" t="s">
        <v>197</v>
      </c>
      <c r="M9">
        <v>7350</v>
      </c>
      <c r="N9" t="s">
        <v>198</v>
      </c>
      <c r="P9">
        <v>2014</v>
      </c>
      <c r="Q9" t="s">
        <v>188</v>
      </c>
      <c r="R9">
        <v>1518640.29</v>
      </c>
      <c r="S9">
        <v>614504.52300000004</v>
      </c>
      <c r="T9" s="174">
        <f t="shared" si="0"/>
        <v>557474.84623060876</v>
      </c>
      <c r="U9" s="174">
        <f>T9+Y47</f>
        <v>558019.9525648487</v>
      </c>
      <c r="V9" s="144">
        <v>10340215.052999999</v>
      </c>
    </row>
    <row r="10" spans="1:22" x14ac:dyDescent="0.25">
      <c r="A10" s="28" t="s">
        <v>254</v>
      </c>
      <c r="B10" s="27">
        <f>I9</f>
        <v>259377</v>
      </c>
      <c r="C10" s="27">
        <v>0</v>
      </c>
      <c r="D10" s="6">
        <f t="shared" ref="D6:D10" si="2">(+B10*C10)/2000</f>
        <v>0</v>
      </c>
      <c r="F10" s="70" t="s">
        <v>54</v>
      </c>
      <c r="G10" s="71">
        <v>15</v>
      </c>
      <c r="H10" s="70" t="s">
        <v>55</v>
      </c>
      <c r="I10" s="72">
        <v>102775</v>
      </c>
    </row>
    <row r="11" spans="1:22" x14ac:dyDescent="0.25">
      <c r="A11" s="28" t="s">
        <v>36</v>
      </c>
      <c r="B11" s="27">
        <f>I10</f>
        <v>102775</v>
      </c>
      <c r="C11" s="27">
        <v>0</v>
      </c>
      <c r="D11" s="6">
        <f t="shared" ref="D11:D40" si="3">(+B11*C11)/2000</f>
        <v>0</v>
      </c>
      <c r="F11" s="70" t="s">
        <v>56</v>
      </c>
      <c r="G11" s="71">
        <v>18</v>
      </c>
      <c r="H11" s="70" t="s">
        <v>55</v>
      </c>
      <c r="I11" s="72">
        <v>83872</v>
      </c>
    </row>
    <row r="12" spans="1:22" x14ac:dyDescent="0.25">
      <c r="A12" s="28" t="s">
        <v>37</v>
      </c>
      <c r="B12" s="27">
        <f>I11</f>
        <v>83872</v>
      </c>
      <c r="C12" s="27">
        <v>0</v>
      </c>
      <c r="D12" s="6">
        <f t="shared" si="3"/>
        <v>0</v>
      </c>
      <c r="F12" s="70" t="s">
        <v>57</v>
      </c>
      <c r="G12" s="71">
        <v>17.600000000000001</v>
      </c>
      <c r="H12" s="70" t="s">
        <v>55</v>
      </c>
      <c r="I12" s="72">
        <v>55630</v>
      </c>
    </row>
    <row r="13" spans="1:22" x14ac:dyDescent="0.25">
      <c r="A13" s="28" t="s">
        <v>38</v>
      </c>
      <c r="B13" s="27">
        <f>I12</f>
        <v>55630</v>
      </c>
      <c r="C13" s="27">
        <v>0</v>
      </c>
      <c r="D13" s="6">
        <f t="shared" si="3"/>
        <v>0</v>
      </c>
      <c r="F13" s="70" t="s">
        <v>58</v>
      </c>
      <c r="G13" s="71">
        <v>34.6</v>
      </c>
      <c r="H13" s="70" t="s">
        <v>55</v>
      </c>
      <c r="I13" s="72">
        <v>195005</v>
      </c>
    </row>
    <row r="14" spans="1:22" x14ac:dyDescent="0.25">
      <c r="A14" s="28" t="s">
        <v>39</v>
      </c>
      <c r="B14" s="27">
        <f>I13</f>
        <v>195005</v>
      </c>
      <c r="C14" s="27">
        <v>0</v>
      </c>
      <c r="D14" s="6">
        <f t="shared" si="3"/>
        <v>0</v>
      </c>
      <c r="F14" s="70" t="s">
        <v>59</v>
      </c>
      <c r="G14" s="71">
        <v>87</v>
      </c>
      <c r="H14" s="70" t="s">
        <v>55</v>
      </c>
      <c r="I14" s="72">
        <v>476442</v>
      </c>
    </row>
    <row r="15" spans="1:22" x14ac:dyDescent="0.25">
      <c r="A15" s="28" t="s">
        <v>40</v>
      </c>
      <c r="B15" s="27">
        <f>I14</f>
        <v>476442</v>
      </c>
      <c r="C15" s="27">
        <v>0</v>
      </c>
      <c r="D15" s="6">
        <f t="shared" si="3"/>
        <v>0</v>
      </c>
      <c r="F15" s="70" t="s">
        <v>60</v>
      </c>
      <c r="G15" s="71">
        <v>10.199999999999999</v>
      </c>
      <c r="H15" s="70" t="s">
        <v>55</v>
      </c>
      <c r="I15" s="72">
        <v>67033</v>
      </c>
    </row>
    <row r="16" spans="1:22" x14ac:dyDescent="0.25">
      <c r="A16" s="28" t="s">
        <v>41</v>
      </c>
      <c r="B16" s="27">
        <f>I15</f>
        <v>67033</v>
      </c>
      <c r="C16" s="27">
        <v>0</v>
      </c>
      <c r="D16" s="6">
        <f t="shared" si="3"/>
        <v>0</v>
      </c>
      <c r="F16" s="70" t="s">
        <v>61</v>
      </c>
      <c r="G16" s="71">
        <v>254.6</v>
      </c>
      <c r="H16" s="70" t="s">
        <v>55</v>
      </c>
      <c r="I16" s="72">
        <v>1194480</v>
      </c>
    </row>
    <row r="17" spans="1:22" x14ac:dyDescent="0.25">
      <c r="A17" s="28" t="s">
        <v>42</v>
      </c>
      <c r="B17" s="27">
        <f>I16</f>
        <v>1194480</v>
      </c>
      <c r="C17" s="27">
        <v>0</v>
      </c>
      <c r="D17" s="6">
        <f t="shared" si="3"/>
        <v>0</v>
      </c>
      <c r="F17" s="70" t="s">
        <v>62</v>
      </c>
      <c r="G17" s="71">
        <v>562.4</v>
      </c>
      <c r="H17" s="70" t="s">
        <v>55</v>
      </c>
      <c r="I17" s="72">
        <v>1968070</v>
      </c>
    </row>
    <row r="18" spans="1:22" x14ac:dyDescent="0.25">
      <c r="A18" s="28" t="s">
        <v>43</v>
      </c>
      <c r="B18" s="27">
        <f>I17</f>
        <v>1968070</v>
      </c>
      <c r="C18" s="27">
        <v>0</v>
      </c>
      <c r="D18" s="6">
        <f t="shared" si="3"/>
        <v>0</v>
      </c>
    </row>
    <row r="19" spans="1:22" x14ac:dyDescent="0.25">
      <c r="A19" s="28" t="s">
        <v>165</v>
      </c>
      <c r="B19" s="27">
        <v>0</v>
      </c>
      <c r="C19" s="27">
        <v>0</v>
      </c>
      <c r="D19" s="6">
        <f t="shared" si="3"/>
        <v>0</v>
      </c>
    </row>
    <row r="20" spans="1:22" ht="15.75" x14ac:dyDescent="0.25">
      <c r="A20" s="28" t="s">
        <v>166</v>
      </c>
      <c r="B20" s="27">
        <f>277387-14444</f>
        <v>262943</v>
      </c>
      <c r="C20" s="27">
        <v>0</v>
      </c>
      <c r="D20" s="6">
        <f t="shared" si="3"/>
        <v>0</v>
      </c>
      <c r="F20" s="75" t="s">
        <v>63</v>
      </c>
      <c r="G20" s="76"/>
      <c r="H20" s="77"/>
      <c r="I20" s="77"/>
      <c r="J20" s="168" t="s">
        <v>64</v>
      </c>
      <c r="K20" s="169"/>
      <c r="L20" s="168" t="s">
        <v>65</v>
      </c>
      <c r="M20" s="170"/>
      <c r="N20" s="170"/>
      <c r="O20" s="170"/>
      <c r="P20" s="169"/>
      <c r="Q20" s="168" t="s">
        <v>66</v>
      </c>
      <c r="R20" s="170"/>
      <c r="S20" s="78" t="s">
        <v>67</v>
      </c>
      <c r="T20" s="78" t="s">
        <v>68</v>
      </c>
      <c r="U20" s="168" t="s">
        <v>69</v>
      </c>
      <c r="V20" s="169"/>
    </row>
    <row r="21" spans="1:22" ht="15.75" x14ac:dyDescent="0.25">
      <c r="A21" s="28" t="s">
        <v>167</v>
      </c>
      <c r="B21" s="27">
        <v>148</v>
      </c>
      <c r="C21" s="27">
        <v>0</v>
      </c>
      <c r="D21" s="6">
        <f t="shared" si="3"/>
        <v>0</v>
      </c>
      <c r="F21" s="79" t="s">
        <v>70</v>
      </c>
      <c r="G21" s="80">
        <v>2014</v>
      </c>
      <c r="H21" s="77"/>
      <c r="I21" s="81"/>
      <c r="J21" s="82" t="s">
        <v>71</v>
      </c>
      <c r="K21" s="82" t="s">
        <v>72</v>
      </c>
      <c r="L21" s="83" t="s">
        <v>73</v>
      </c>
      <c r="M21" s="84" t="s">
        <v>74</v>
      </c>
      <c r="N21" s="83" t="s">
        <v>75</v>
      </c>
      <c r="O21" s="83" t="s">
        <v>76</v>
      </c>
      <c r="P21" s="83" t="s">
        <v>77</v>
      </c>
      <c r="Q21" s="84" t="s">
        <v>78</v>
      </c>
      <c r="R21" s="84" t="s">
        <v>79</v>
      </c>
      <c r="S21" s="85" t="s">
        <v>80</v>
      </c>
      <c r="T21" s="85" t="s">
        <v>81</v>
      </c>
      <c r="U21" s="85" t="s">
        <v>82</v>
      </c>
      <c r="V21" s="86" t="s">
        <v>83</v>
      </c>
    </row>
    <row r="22" spans="1:22" ht="75.75" x14ac:dyDescent="0.25">
      <c r="A22" s="28" t="s">
        <v>168</v>
      </c>
      <c r="B22" s="27">
        <v>3419</v>
      </c>
      <c r="C22" s="27">
        <v>0</v>
      </c>
      <c r="D22" s="6">
        <f t="shared" si="3"/>
        <v>0</v>
      </c>
      <c r="F22" s="87"/>
      <c r="G22" s="88"/>
      <c r="H22" s="89"/>
      <c r="I22" s="90"/>
      <c r="J22" s="91" t="s">
        <v>84</v>
      </c>
      <c r="K22" s="91" t="s">
        <v>85</v>
      </c>
      <c r="L22" s="91" t="s">
        <v>86</v>
      </c>
      <c r="M22" s="91" t="s">
        <v>87</v>
      </c>
      <c r="N22" s="91" t="s">
        <v>88</v>
      </c>
      <c r="O22" s="91" t="s">
        <v>89</v>
      </c>
      <c r="P22" s="91" t="s">
        <v>90</v>
      </c>
      <c r="Q22" s="92" t="s">
        <v>91</v>
      </c>
      <c r="R22" s="92" t="s">
        <v>92</v>
      </c>
      <c r="S22" s="92" t="s">
        <v>93</v>
      </c>
      <c r="T22" s="92" t="s">
        <v>94</v>
      </c>
      <c r="U22" s="92" t="s">
        <v>95</v>
      </c>
      <c r="V22" s="93" t="s">
        <v>96</v>
      </c>
    </row>
    <row r="23" spans="1:22" ht="45" x14ac:dyDescent="0.25">
      <c r="A23" s="28" t="s">
        <v>134</v>
      </c>
      <c r="B23" s="27">
        <v>266111</v>
      </c>
      <c r="C23" s="27">
        <v>0</v>
      </c>
      <c r="D23" s="6">
        <f t="shared" si="3"/>
        <v>0</v>
      </c>
      <c r="F23" s="94"/>
      <c r="G23" s="76"/>
      <c r="H23" s="95"/>
      <c r="I23" s="81"/>
      <c r="J23" s="96"/>
      <c r="K23" s="96"/>
      <c r="L23" s="96"/>
      <c r="M23" s="96"/>
      <c r="N23" s="97" t="s">
        <v>97</v>
      </c>
      <c r="O23" s="97" t="s">
        <v>98</v>
      </c>
      <c r="P23" s="97"/>
      <c r="Q23" s="98"/>
      <c r="R23" s="98"/>
      <c r="S23" s="99"/>
      <c r="T23" s="99"/>
      <c r="U23" s="93" t="s">
        <v>99</v>
      </c>
      <c r="V23" s="100" t="s">
        <v>100</v>
      </c>
    </row>
    <row r="24" spans="1:22" x14ac:dyDescent="0.25">
      <c r="A24" s="28" t="s">
        <v>169</v>
      </c>
      <c r="B24" s="27">
        <v>9132</v>
      </c>
      <c r="C24" s="27">
        <v>0</v>
      </c>
      <c r="D24" s="6">
        <f t="shared" si="3"/>
        <v>0</v>
      </c>
      <c r="F24" s="101">
        <v>0</v>
      </c>
      <c r="G24" s="102" t="s">
        <v>101</v>
      </c>
      <c r="H24" s="103" t="s">
        <v>47</v>
      </c>
      <c r="I24" s="104">
        <v>0.5</v>
      </c>
      <c r="J24" s="105">
        <v>1000</v>
      </c>
      <c r="K24" s="106" t="s">
        <v>102</v>
      </c>
      <c r="L24" s="107">
        <v>5.0999999999999997E-2</v>
      </c>
      <c r="M24" s="108" t="s">
        <v>103</v>
      </c>
      <c r="N24" s="106" t="s">
        <v>104</v>
      </c>
      <c r="O24" s="105">
        <f>J24*L24</f>
        <v>51</v>
      </c>
      <c r="P24" s="109" t="s">
        <v>105</v>
      </c>
      <c r="Q24" s="110">
        <v>14</v>
      </c>
      <c r="R24" s="106" t="s">
        <v>106</v>
      </c>
      <c r="S24" s="111">
        <v>1</v>
      </c>
      <c r="T24" s="112">
        <v>1</v>
      </c>
      <c r="U24" s="113">
        <f>+O24*Q24*S24*T24*3.66666666666667</f>
        <v>2618.0000000000023</v>
      </c>
      <c r="V24" s="114">
        <f>U24/1000</f>
        <v>2.6180000000000021</v>
      </c>
    </row>
    <row r="25" spans="1:22" x14ac:dyDescent="0.25">
      <c r="A25" s="28" t="s">
        <v>170</v>
      </c>
      <c r="B25" s="27">
        <v>19298</v>
      </c>
      <c r="C25" s="27">
        <v>0</v>
      </c>
      <c r="D25" s="6">
        <f t="shared" si="3"/>
        <v>0</v>
      </c>
      <c r="F25" s="115" t="s">
        <v>107</v>
      </c>
      <c r="G25" s="115" t="s">
        <v>108</v>
      </c>
      <c r="H25" s="116" t="s">
        <v>109</v>
      </c>
      <c r="I25" s="116" t="s">
        <v>110</v>
      </c>
      <c r="J25" s="117"/>
      <c r="K25" s="118"/>
      <c r="L25" s="118"/>
      <c r="M25" s="118"/>
      <c r="N25" s="118"/>
      <c r="O25" s="118"/>
      <c r="P25" s="118"/>
      <c r="Q25" s="119"/>
      <c r="R25" s="120"/>
      <c r="S25" s="121"/>
      <c r="T25" s="121"/>
      <c r="U25" s="121"/>
      <c r="V25" s="118"/>
    </row>
    <row r="26" spans="1:22" ht="30" x14ac:dyDescent="0.25">
      <c r="A26" s="28" t="s">
        <v>171</v>
      </c>
      <c r="B26" s="27">
        <v>1155</v>
      </c>
      <c r="C26" s="27">
        <v>0</v>
      </c>
      <c r="D26" s="6">
        <f t="shared" si="3"/>
        <v>0</v>
      </c>
      <c r="F26" s="122">
        <v>1</v>
      </c>
      <c r="G26" s="123" t="s">
        <v>30</v>
      </c>
      <c r="H26" s="123" t="s">
        <v>45</v>
      </c>
      <c r="I26" s="124">
        <v>0.15</v>
      </c>
      <c r="J26" s="125">
        <v>925391</v>
      </c>
      <c r="K26" s="126" t="s">
        <v>111</v>
      </c>
      <c r="L26" s="127">
        <v>17.024999999999999</v>
      </c>
      <c r="M26" s="126" t="s">
        <v>112</v>
      </c>
      <c r="N26" s="126" t="s">
        <v>104</v>
      </c>
      <c r="O26" s="128">
        <f>J26*L26</f>
        <v>15754781.774999999</v>
      </c>
      <c r="P26" s="129" t="s">
        <v>113</v>
      </c>
      <c r="Q26" s="130">
        <v>93.4</v>
      </c>
      <c r="R26" s="129" t="s">
        <v>114</v>
      </c>
      <c r="S26" s="131">
        <v>0.98</v>
      </c>
      <c r="T26" s="132">
        <v>1</v>
      </c>
      <c r="U26" s="133">
        <f t="shared" ref="U26:U33" si="4">+O26*Q26*S26*T26</f>
        <v>1442066685.4292998</v>
      </c>
      <c r="V26" s="133">
        <f t="shared" ref="V26:V33" si="5">U26/1000</f>
        <v>1442066.6854292997</v>
      </c>
    </row>
    <row r="27" spans="1:22" ht="25.5" x14ac:dyDescent="0.25">
      <c r="A27" s="28" t="s">
        <v>172</v>
      </c>
      <c r="B27" s="27">
        <v>335291</v>
      </c>
      <c r="C27" s="27">
        <v>0</v>
      </c>
      <c r="D27" s="6">
        <f t="shared" si="3"/>
        <v>0</v>
      </c>
      <c r="F27" s="122">
        <f t="shared" ref="F27:F33" si="6">F26+1</f>
        <v>2</v>
      </c>
      <c r="G27" s="123" t="s">
        <v>30</v>
      </c>
      <c r="H27" s="123" t="s">
        <v>115</v>
      </c>
      <c r="I27" s="134">
        <v>0.15</v>
      </c>
      <c r="J27" s="125">
        <v>2411</v>
      </c>
      <c r="K27" s="126" t="s">
        <v>116</v>
      </c>
      <c r="L27" s="130">
        <f>140000*42/1000000</f>
        <v>5.88</v>
      </c>
      <c r="M27" s="135" t="s">
        <v>117</v>
      </c>
      <c r="N27" s="126" t="s">
        <v>104</v>
      </c>
      <c r="O27" s="128">
        <f>(J27*L27)</f>
        <v>14176.68</v>
      </c>
      <c r="P27" s="129" t="s">
        <v>113</v>
      </c>
      <c r="Q27" s="130">
        <v>73.959999999999994</v>
      </c>
      <c r="R27" s="129" t="s">
        <v>114</v>
      </c>
      <c r="S27" s="131">
        <v>0.99</v>
      </c>
      <c r="T27" s="132">
        <v>1</v>
      </c>
      <c r="U27" s="133">
        <f t="shared" si="4"/>
        <v>1038022.1802719999</v>
      </c>
      <c r="V27" s="133">
        <f t="shared" si="5"/>
        <v>1038.022180272</v>
      </c>
    </row>
    <row r="28" spans="1:22" x14ac:dyDescent="0.25">
      <c r="A28" s="28" t="s">
        <v>173</v>
      </c>
      <c r="B28" s="27">
        <v>41</v>
      </c>
      <c r="C28" s="27">
        <v>0</v>
      </c>
      <c r="D28" s="6">
        <f t="shared" si="3"/>
        <v>0</v>
      </c>
      <c r="F28" s="122">
        <f t="shared" si="6"/>
        <v>3</v>
      </c>
      <c r="G28" s="123" t="s">
        <v>118</v>
      </c>
      <c r="H28" s="123" t="s">
        <v>47</v>
      </c>
      <c r="I28" s="134">
        <v>1</v>
      </c>
      <c r="J28" s="130">
        <v>161.04599999999999</v>
      </c>
      <c r="K28" s="126" t="s">
        <v>119</v>
      </c>
      <c r="L28" s="136">
        <v>1028</v>
      </c>
      <c r="M28" s="126" t="s">
        <v>120</v>
      </c>
      <c r="N28" s="126" t="s">
        <v>104</v>
      </c>
      <c r="O28" s="128">
        <f t="shared" ref="O28:O32" si="7">J28*L28</f>
        <v>165555.288</v>
      </c>
      <c r="P28" s="129" t="s">
        <v>113</v>
      </c>
      <c r="Q28" s="130">
        <v>53.02</v>
      </c>
      <c r="R28" s="129" t="s">
        <v>114</v>
      </c>
      <c r="S28" s="131">
        <v>0.995</v>
      </c>
      <c r="T28" s="132">
        <v>1</v>
      </c>
      <c r="U28" s="133">
        <f t="shared" si="4"/>
        <v>8733852.6629112009</v>
      </c>
      <c r="V28" s="133">
        <f t="shared" si="5"/>
        <v>8733.8526629112002</v>
      </c>
    </row>
    <row r="29" spans="1:22" x14ac:dyDescent="0.25">
      <c r="A29" s="28" t="s">
        <v>148</v>
      </c>
      <c r="B29" s="27">
        <f>36952+132515+178554</f>
        <v>348021</v>
      </c>
      <c r="C29" s="27">
        <v>0</v>
      </c>
      <c r="D29" s="6">
        <f t="shared" si="3"/>
        <v>0</v>
      </c>
      <c r="F29" s="122">
        <f t="shared" si="6"/>
        <v>4</v>
      </c>
      <c r="G29" s="123" t="s">
        <v>121</v>
      </c>
      <c r="H29" s="123" t="s">
        <v>47</v>
      </c>
      <c r="I29" s="134">
        <v>1</v>
      </c>
      <c r="J29" s="130">
        <v>29.597000000000001</v>
      </c>
      <c r="K29" s="126" t="s">
        <v>119</v>
      </c>
      <c r="L29" s="136">
        <v>1028</v>
      </c>
      <c r="M29" s="126" t="s">
        <v>120</v>
      </c>
      <c r="N29" s="126" t="s">
        <v>104</v>
      </c>
      <c r="O29" s="128">
        <f t="shared" si="7"/>
        <v>30425.716</v>
      </c>
      <c r="P29" s="129" t="s">
        <v>113</v>
      </c>
      <c r="Q29" s="130">
        <v>53.02</v>
      </c>
      <c r="R29" s="129" t="s">
        <v>114</v>
      </c>
      <c r="S29" s="131">
        <v>0.995</v>
      </c>
      <c r="T29" s="132">
        <v>1</v>
      </c>
      <c r="U29" s="133">
        <f t="shared" si="4"/>
        <v>1605105.6050084</v>
      </c>
      <c r="V29" s="133">
        <f t="shared" si="5"/>
        <v>1605.1056050084001</v>
      </c>
    </row>
    <row r="30" spans="1:22" x14ac:dyDescent="0.25">
      <c r="A30" s="28" t="s">
        <v>154</v>
      </c>
      <c r="B30" s="27">
        <f>R6</f>
        <v>1219295.5</v>
      </c>
      <c r="C30" s="143">
        <f>D30/B30</f>
        <v>0.37761302471197655</v>
      </c>
      <c r="D30" s="6">
        <f>U6</f>
        <v>460421.86177270178</v>
      </c>
      <c r="F30" s="122">
        <f t="shared" si="6"/>
        <v>5</v>
      </c>
      <c r="G30" s="123" t="s">
        <v>33</v>
      </c>
      <c r="H30" s="123" t="s">
        <v>47</v>
      </c>
      <c r="I30" s="134">
        <v>1</v>
      </c>
      <c r="J30" s="130">
        <v>138.58199999999999</v>
      </c>
      <c r="K30" s="126" t="s">
        <v>119</v>
      </c>
      <c r="L30" s="136">
        <v>1028</v>
      </c>
      <c r="M30" s="126" t="s">
        <v>120</v>
      </c>
      <c r="N30" s="126" t="s">
        <v>104</v>
      </c>
      <c r="O30" s="128">
        <f t="shared" si="7"/>
        <v>142462.296</v>
      </c>
      <c r="P30" s="129" t="s">
        <v>113</v>
      </c>
      <c r="Q30" s="130">
        <v>53.02</v>
      </c>
      <c r="R30" s="129" t="s">
        <v>114</v>
      </c>
      <c r="S30" s="131">
        <v>0.995</v>
      </c>
      <c r="T30" s="132">
        <v>1</v>
      </c>
      <c r="U30" s="133">
        <f t="shared" si="4"/>
        <v>7515584.1792504005</v>
      </c>
      <c r="V30" s="133">
        <f t="shared" si="5"/>
        <v>7515.5841792504007</v>
      </c>
    </row>
    <row r="31" spans="1:22" x14ac:dyDescent="0.25">
      <c r="A31" s="28" t="s">
        <v>174</v>
      </c>
      <c r="B31" s="27">
        <v>7218</v>
      </c>
      <c r="C31" s="27">
        <v>0</v>
      </c>
      <c r="D31" s="6">
        <f t="shared" si="3"/>
        <v>0</v>
      </c>
      <c r="F31" s="122">
        <f t="shared" si="6"/>
        <v>6</v>
      </c>
      <c r="G31" s="123" t="s">
        <v>34</v>
      </c>
      <c r="H31" s="123" t="s">
        <v>47</v>
      </c>
      <c r="I31" s="134">
        <v>1</v>
      </c>
      <c r="J31" s="130">
        <v>10197.290000000001</v>
      </c>
      <c r="K31" s="126" t="s">
        <v>119</v>
      </c>
      <c r="L31" s="136">
        <v>1028</v>
      </c>
      <c r="M31" s="126" t="s">
        <v>120</v>
      </c>
      <c r="N31" s="126" t="s">
        <v>104</v>
      </c>
      <c r="O31" s="128">
        <f t="shared" si="7"/>
        <v>10482814.120000001</v>
      </c>
      <c r="P31" s="129" t="s">
        <v>113</v>
      </c>
      <c r="Q31" s="130">
        <v>53.02</v>
      </c>
      <c r="R31" s="129" t="s">
        <v>114</v>
      </c>
      <c r="S31" s="131">
        <v>0.995</v>
      </c>
      <c r="T31" s="132">
        <v>1</v>
      </c>
      <c r="U31" s="133">
        <f t="shared" si="4"/>
        <v>553019810.61918819</v>
      </c>
      <c r="V31" s="133">
        <f t="shared" si="5"/>
        <v>553019.81061918824</v>
      </c>
    </row>
    <row r="32" spans="1:22" x14ac:dyDescent="0.25">
      <c r="A32" s="28" t="s">
        <v>189</v>
      </c>
      <c r="B32" s="27">
        <v>46280</v>
      </c>
      <c r="C32" s="27">
        <v>0</v>
      </c>
      <c r="D32" s="6">
        <f t="shared" si="3"/>
        <v>0</v>
      </c>
      <c r="F32" s="122">
        <f t="shared" si="6"/>
        <v>7</v>
      </c>
      <c r="G32" s="123" t="s">
        <v>35</v>
      </c>
      <c r="H32" s="123" t="s">
        <v>47</v>
      </c>
      <c r="I32" s="134">
        <v>1</v>
      </c>
      <c r="J32" s="130">
        <v>3.4289999999999998</v>
      </c>
      <c r="K32" s="126" t="s">
        <v>119</v>
      </c>
      <c r="L32" s="136">
        <v>1028</v>
      </c>
      <c r="M32" s="126" t="s">
        <v>120</v>
      </c>
      <c r="N32" s="126" t="s">
        <v>104</v>
      </c>
      <c r="O32" s="128">
        <f t="shared" si="7"/>
        <v>3525.0119999999997</v>
      </c>
      <c r="P32" s="129" t="s">
        <v>113</v>
      </c>
      <c r="Q32" s="130">
        <v>53.02</v>
      </c>
      <c r="R32" s="129" t="s">
        <v>114</v>
      </c>
      <c r="S32" s="131">
        <v>0.995</v>
      </c>
      <c r="T32" s="132">
        <v>1</v>
      </c>
      <c r="U32" s="133">
        <f t="shared" si="4"/>
        <v>185961.6555588</v>
      </c>
      <c r="V32" s="133">
        <f t="shared" si="5"/>
        <v>185.9616555588</v>
      </c>
    </row>
    <row r="33" spans="1:26" x14ac:dyDescent="0.25">
      <c r="A33" s="28" t="s">
        <v>190</v>
      </c>
      <c r="B33" s="27">
        <v>1412</v>
      </c>
      <c r="C33" s="27">
        <v>0</v>
      </c>
      <c r="D33" s="6">
        <f t="shared" si="3"/>
        <v>0</v>
      </c>
      <c r="F33" s="122">
        <f t="shared" si="6"/>
        <v>8</v>
      </c>
      <c r="G33" s="123"/>
      <c r="H33" s="137"/>
      <c r="I33" s="134">
        <v>1</v>
      </c>
      <c r="J33" s="130"/>
      <c r="K33" s="126"/>
      <c r="L33" s="125"/>
      <c r="M33" s="126"/>
      <c r="N33" s="126"/>
      <c r="O33" s="128">
        <f>J50*L33</f>
        <v>0</v>
      </c>
      <c r="P33" s="129"/>
      <c r="Q33" s="125"/>
      <c r="R33" s="129"/>
      <c r="S33" s="138"/>
      <c r="T33" s="132"/>
      <c r="U33" s="133">
        <f t="shared" si="4"/>
        <v>0</v>
      </c>
      <c r="V33" s="133">
        <f t="shared" si="5"/>
        <v>0</v>
      </c>
    </row>
    <row r="34" spans="1:26" x14ac:dyDescent="0.25">
      <c r="A34" s="28" t="s">
        <v>191</v>
      </c>
      <c r="B34" s="27">
        <v>30311</v>
      </c>
      <c r="C34" s="27">
        <v>0</v>
      </c>
      <c r="D34" s="6">
        <f t="shared" si="3"/>
        <v>0</v>
      </c>
    </row>
    <row r="35" spans="1:26" x14ac:dyDescent="0.25">
      <c r="A35" s="28" t="s">
        <v>140</v>
      </c>
      <c r="B35" s="27">
        <v>2350</v>
      </c>
      <c r="C35" s="27"/>
      <c r="D35" s="6">
        <f t="shared" si="3"/>
        <v>0</v>
      </c>
    </row>
    <row r="36" spans="1:26" x14ac:dyDescent="0.25">
      <c r="A36" s="28" t="s">
        <v>218</v>
      </c>
      <c r="B36" s="27">
        <v>203102</v>
      </c>
      <c r="C36" s="27"/>
      <c r="D36" s="6">
        <f t="shared" si="3"/>
        <v>0</v>
      </c>
      <c r="F36" s="139" t="s">
        <v>234</v>
      </c>
      <c r="G36" s="139"/>
      <c r="H36" s="140"/>
      <c r="I36" s="141"/>
      <c r="J36" s="141" t="s">
        <v>64</v>
      </c>
      <c r="K36" s="142"/>
      <c r="L36" t="s">
        <v>65</v>
      </c>
      <c r="Q36" t="s">
        <v>66</v>
      </c>
      <c r="S36" t="s">
        <v>67</v>
      </c>
      <c r="U36" t="s">
        <v>68</v>
      </c>
      <c r="V36" t="s">
        <v>69</v>
      </c>
    </row>
    <row r="37" spans="1:26" x14ac:dyDescent="0.25">
      <c r="A37" s="28"/>
      <c r="B37" s="27"/>
      <c r="C37" s="27"/>
      <c r="D37" s="6">
        <f t="shared" si="3"/>
        <v>0</v>
      </c>
      <c r="F37" s="139" t="s">
        <v>70</v>
      </c>
      <c r="G37" s="139">
        <v>2014</v>
      </c>
      <c r="H37" s="140"/>
      <c r="I37" s="141"/>
      <c r="J37" s="141" t="s">
        <v>71</v>
      </c>
      <c r="K37" s="142" t="s">
        <v>72</v>
      </c>
      <c r="L37" t="s">
        <v>73</v>
      </c>
      <c r="M37" t="s">
        <v>74</v>
      </c>
      <c r="N37" t="s">
        <v>75</v>
      </c>
      <c r="O37" t="s">
        <v>76</v>
      </c>
      <c r="P37" t="s">
        <v>77</v>
      </c>
      <c r="Q37" t="s">
        <v>78</v>
      </c>
      <c r="R37" t="s">
        <v>79</v>
      </c>
      <c r="S37" t="s">
        <v>80</v>
      </c>
      <c r="T37" t="s">
        <v>81</v>
      </c>
      <c r="U37" t="s">
        <v>82</v>
      </c>
      <c r="V37" t="s">
        <v>83</v>
      </c>
      <c r="W37" t="s">
        <v>235</v>
      </c>
    </row>
    <row r="38" spans="1:26" x14ac:dyDescent="0.25">
      <c r="A38" s="28"/>
      <c r="B38" s="27"/>
      <c r="C38" s="27"/>
      <c r="D38" s="6">
        <f t="shared" si="3"/>
        <v>0</v>
      </c>
      <c r="F38" s="139"/>
      <c r="G38" s="139"/>
      <c r="H38" s="140"/>
      <c r="I38" s="141"/>
      <c r="J38" s="141" t="s">
        <v>84</v>
      </c>
      <c r="K38" s="142" t="s">
        <v>85</v>
      </c>
      <c r="L38" t="s">
        <v>86</v>
      </c>
      <c r="M38" t="s">
        <v>87</v>
      </c>
      <c r="N38" t="s">
        <v>88</v>
      </c>
      <c r="O38" t="s">
        <v>89</v>
      </c>
      <c r="P38" t="s">
        <v>90</v>
      </c>
      <c r="Q38" t="s">
        <v>236</v>
      </c>
      <c r="R38" t="s">
        <v>92</v>
      </c>
      <c r="S38" t="s">
        <v>237</v>
      </c>
      <c r="T38" t="s">
        <v>238</v>
      </c>
      <c r="U38" t="s">
        <v>94</v>
      </c>
      <c r="V38" t="s">
        <v>239</v>
      </c>
      <c r="W38" t="s">
        <v>240</v>
      </c>
      <c r="Y38" s="160" t="s">
        <v>241</v>
      </c>
    </row>
    <row r="39" spans="1:26" x14ac:dyDescent="0.25">
      <c r="A39" s="28"/>
      <c r="B39" s="27"/>
      <c r="C39" s="27"/>
      <c r="D39" s="6">
        <f t="shared" si="3"/>
        <v>0</v>
      </c>
      <c r="N39" t="s">
        <v>97</v>
      </c>
      <c r="O39" t="s">
        <v>98</v>
      </c>
      <c r="V39" t="s">
        <v>242</v>
      </c>
      <c r="W39" t="s">
        <v>243</v>
      </c>
      <c r="Y39" s="160"/>
    </row>
    <row r="40" spans="1:26" ht="15.75" thickBot="1" x14ac:dyDescent="0.3">
      <c r="A40" s="29"/>
      <c r="B40" s="30"/>
      <c r="C40" s="30"/>
      <c r="D40" s="9">
        <f t="shared" si="3"/>
        <v>0</v>
      </c>
      <c r="F40" t="s">
        <v>244</v>
      </c>
      <c r="J40">
        <v>1000</v>
      </c>
      <c r="K40" t="s">
        <v>102</v>
      </c>
      <c r="L40">
        <v>5.0999999999999997E-2</v>
      </c>
      <c r="M40" t="s">
        <v>103</v>
      </c>
      <c r="N40" t="s">
        <v>104</v>
      </c>
      <c r="O40">
        <v>51</v>
      </c>
      <c r="P40" t="s">
        <v>105</v>
      </c>
      <c r="Q40">
        <v>1E-3</v>
      </c>
      <c r="R40" t="s">
        <v>245</v>
      </c>
      <c r="S40">
        <v>2E-3</v>
      </c>
      <c r="T40" t="s">
        <v>246</v>
      </c>
      <c r="U40">
        <v>1</v>
      </c>
      <c r="V40">
        <v>5.1000000000000004E-2</v>
      </c>
      <c r="W40">
        <v>0.10200000000000001</v>
      </c>
      <c r="Y40" s="160"/>
    </row>
    <row r="41" spans="1:26" ht="16.5" thickTop="1" thickBot="1" x14ac:dyDescent="0.3">
      <c r="A41" s="1"/>
      <c r="B41" s="10">
        <f>SUM(B4:B40)</f>
        <v>10295386.314999999</v>
      </c>
      <c r="C41" s="175">
        <f>D41/B41</f>
        <v>0.24995518390101981</v>
      </c>
      <c r="D41" s="10">
        <f>SUM(D4:D40)</f>
        <v>2573385.1796978675</v>
      </c>
      <c r="F41" t="s">
        <v>107</v>
      </c>
      <c r="G41" t="s">
        <v>108</v>
      </c>
      <c r="H41" t="s">
        <v>109</v>
      </c>
      <c r="I41" t="s">
        <v>110</v>
      </c>
      <c r="Y41" s="160"/>
      <c r="Z41" t="s">
        <v>108</v>
      </c>
    </row>
    <row r="42" spans="1:26" x14ac:dyDescent="0.25">
      <c r="F42">
        <v>1</v>
      </c>
      <c r="G42" t="s">
        <v>30</v>
      </c>
      <c r="H42" t="s">
        <v>45</v>
      </c>
      <c r="I42">
        <v>0.15</v>
      </c>
      <c r="J42">
        <v>925391</v>
      </c>
      <c r="K42" t="s">
        <v>111</v>
      </c>
      <c r="L42">
        <v>17.024999999999999</v>
      </c>
      <c r="M42" t="s">
        <v>112</v>
      </c>
      <c r="N42" t="s">
        <v>104</v>
      </c>
      <c r="O42">
        <v>15754781.774999999</v>
      </c>
      <c r="P42" t="s">
        <v>113</v>
      </c>
      <c r="Q42">
        <v>1.0999999999999999E-2</v>
      </c>
      <c r="R42" t="s">
        <v>247</v>
      </c>
      <c r="S42">
        <v>1.6000000000000001E-3</v>
      </c>
      <c r="T42" t="s">
        <v>247</v>
      </c>
      <c r="U42">
        <v>1</v>
      </c>
      <c r="V42">
        <v>173302.59952499997</v>
      </c>
      <c r="W42">
        <v>25207.650839999998</v>
      </c>
      <c r="Y42" s="160">
        <v>11453.726350424997</v>
      </c>
      <c r="Z42" t="s">
        <v>30</v>
      </c>
    </row>
    <row r="43" spans="1:26" x14ac:dyDescent="0.25">
      <c r="A43" t="s">
        <v>223</v>
      </c>
      <c r="F43">
        <v>2</v>
      </c>
      <c r="G43" t="s">
        <v>30</v>
      </c>
      <c r="H43" t="s">
        <v>115</v>
      </c>
      <c r="I43">
        <v>0.15</v>
      </c>
      <c r="J43">
        <v>2411</v>
      </c>
      <c r="K43" t="s">
        <v>116</v>
      </c>
      <c r="L43">
        <v>5.88</v>
      </c>
      <c r="M43" t="s">
        <v>248</v>
      </c>
      <c r="N43" t="s">
        <v>104</v>
      </c>
      <c r="O43">
        <v>14176.68</v>
      </c>
      <c r="P43" t="s">
        <v>113</v>
      </c>
      <c r="Q43">
        <v>3.0000000000000001E-3</v>
      </c>
      <c r="R43" t="s">
        <v>247</v>
      </c>
      <c r="S43">
        <v>5.9999999999999995E-4</v>
      </c>
      <c r="T43" t="s">
        <v>247</v>
      </c>
      <c r="U43">
        <v>1</v>
      </c>
      <c r="V43">
        <v>42.53004</v>
      </c>
      <c r="W43">
        <v>8.5060079999999996</v>
      </c>
      <c r="Y43" s="160">
        <v>3.5299933199999995</v>
      </c>
      <c r="Z43" t="s">
        <v>30</v>
      </c>
    </row>
    <row r="44" spans="1:26" x14ac:dyDescent="0.25">
      <c r="A44" s="139" t="s">
        <v>222</v>
      </c>
      <c r="B44" s="139"/>
      <c r="C44" s="140"/>
      <c r="D44" s="142"/>
      <c r="F44">
        <v>3</v>
      </c>
      <c r="G44" t="s">
        <v>118</v>
      </c>
      <c r="H44" t="s">
        <v>47</v>
      </c>
      <c r="I44">
        <v>1</v>
      </c>
      <c r="J44">
        <v>161.04599999999999</v>
      </c>
      <c r="K44" t="s">
        <v>119</v>
      </c>
      <c r="L44">
        <v>1028</v>
      </c>
      <c r="M44" t="s">
        <v>120</v>
      </c>
      <c r="N44" t="s">
        <v>104</v>
      </c>
      <c r="O44">
        <v>165555.288</v>
      </c>
      <c r="P44" t="s">
        <v>113</v>
      </c>
      <c r="Q44">
        <v>1E-3</v>
      </c>
      <c r="R44" t="s">
        <v>247</v>
      </c>
      <c r="S44">
        <v>1E-4</v>
      </c>
      <c r="T44" t="s">
        <v>247</v>
      </c>
      <c r="U44">
        <v>1</v>
      </c>
      <c r="V44">
        <v>165.55528799999999</v>
      </c>
      <c r="W44">
        <v>16.555528800000001</v>
      </c>
      <c r="Y44" s="160">
        <v>8.6088749759999992</v>
      </c>
      <c r="Z44" t="s">
        <v>118</v>
      </c>
    </row>
    <row r="45" spans="1:26" x14ac:dyDescent="0.25">
      <c r="F45">
        <v>4</v>
      </c>
      <c r="G45" t="s">
        <v>121</v>
      </c>
      <c r="H45" t="s">
        <v>47</v>
      </c>
      <c r="I45">
        <v>1</v>
      </c>
      <c r="J45">
        <v>29.597000000000001</v>
      </c>
      <c r="K45" t="s">
        <v>119</v>
      </c>
      <c r="L45">
        <v>1028</v>
      </c>
      <c r="M45" t="s">
        <v>120</v>
      </c>
      <c r="N45" t="s">
        <v>104</v>
      </c>
      <c r="O45">
        <v>30425.716</v>
      </c>
      <c r="P45" t="s">
        <v>113</v>
      </c>
      <c r="Q45">
        <v>1E-3</v>
      </c>
      <c r="R45" t="s">
        <v>247</v>
      </c>
      <c r="S45">
        <v>1E-4</v>
      </c>
      <c r="T45" t="s">
        <v>247</v>
      </c>
      <c r="U45">
        <v>1</v>
      </c>
      <c r="V45">
        <v>30.425716000000001</v>
      </c>
      <c r="W45">
        <v>3.0425716</v>
      </c>
      <c r="Y45" s="160">
        <v>1.582137232</v>
      </c>
      <c r="Z45" t="s">
        <v>121</v>
      </c>
    </row>
    <row r="46" spans="1:26" x14ac:dyDescent="0.25">
      <c r="D46" s="142"/>
      <c r="F46">
        <v>5</v>
      </c>
      <c r="G46" t="s">
        <v>33</v>
      </c>
      <c r="H46" t="s">
        <v>47</v>
      </c>
      <c r="I46">
        <v>1</v>
      </c>
      <c r="J46">
        <v>138.58199999999999</v>
      </c>
      <c r="K46" t="s">
        <v>119</v>
      </c>
      <c r="L46">
        <v>1028</v>
      </c>
      <c r="M46" t="s">
        <v>120</v>
      </c>
      <c r="N46" t="s">
        <v>104</v>
      </c>
      <c r="O46">
        <v>142462.296</v>
      </c>
      <c r="P46" t="s">
        <v>113</v>
      </c>
      <c r="Q46">
        <v>1E-3</v>
      </c>
      <c r="R46" t="s">
        <v>247</v>
      </c>
      <c r="S46">
        <v>1E-4</v>
      </c>
      <c r="T46" t="s">
        <v>247</v>
      </c>
      <c r="U46">
        <v>1</v>
      </c>
      <c r="V46">
        <v>142.46229600000001</v>
      </c>
      <c r="W46">
        <v>14.246229600000001</v>
      </c>
      <c r="Y46" s="160">
        <v>7.4080393920000009</v>
      </c>
      <c r="Z46" t="s">
        <v>33</v>
      </c>
    </row>
    <row r="47" spans="1:26" x14ac:dyDescent="0.25">
      <c r="D47" s="142"/>
      <c r="F47">
        <v>6</v>
      </c>
      <c r="G47" t="s">
        <v>34</v>
      </c>
      <c r="H47" t="s">
        <v>47</v>
      </c>
      <c r="I47">
        <v>1</v>
      </c>
      <c r="J47">
        <v>10197.290000000001</v>
      </c>
      <c r="K47" t="s">
        <v>119</v>
      </c>
      <c r="L47">
        <v>1028</v>
      </c>
      <c r="M47" t="s">
        <v>120</v>
      </c>
      <c r="N47" t="s">
        <v>104</v>
      </c>
      <c r="O47">
        <v>10482814.120000001</v>
      </c>
      <c r="P47" t="s">
        <v>113</v>
      </c>
      <c r="Q47">
        <v>1E-3</v>
      </c>
      <c r="R47" t="s">
        <v>247</v>
      </c>
      <c r="S47">
        <v>1E-4</v>
      </c>
      <c r="T47" t="s">
        <v>247</v>
      </c>
      <c r="U47">
        <v>1</v>
      </c>
      <c r="V47">
        <v>10482.814120000001</v>
      </c>
      <c r="W47">
        <v>1048.281412</v>
      </c>
      <c r="Y47" s="160">
        <v>545.10633424000002</v>
      </c>
      <c r="Z47" t="s">
        <v>34</v>
      </c>
    </row>
    <row r="48" spans="1:26" x14ac:dyDescent="0.25">
      <c r="D48" s="142"/>
      <c r="F48">
        <v>7</v>
      </c>
      <c r="G48" t="s">
        <v>35</v>
      </c>
      <c r="H48" t="s">
        <v>47</v>
      </c>
      <c r="I48">
        <v>1</v>
      </c>
      <c r="J48">
        <v>3.4289999999999998</v>
      </c>
      <c r="K48" t="s">
        <v>119</v>
      </c>
      <c r="L48">
        <v>1028</v>
      </c>
      <c r="M48" t="s">
        <v>120</v>
      </c>
      <c r="N48" t="s">
        <v>104</v>
      </c>
      <c r="O48">
        <v>3525.0119999999997</v>
      </c>
      <c r="P48" t="s">
        <v>113</v>
      </c>
      <c r="Q48">
        <v>1E-3</v>
      </c>
      <c r="R48" t="s">
        <v>247</v>
      </c>
      <c r="S48">
        <v>1E-4</v>
      </c>
      <c r="T48" t="s">
        <v>247</v>
      </c>
      <c r="U48">
        <v>1</v>
      </c>
      <c r="V48">
        <v>3.5250119999999998</v>
      </c>
      <c r="W48">
        <v>0.35250120000000001</v>
      </c>
      <c r="Y48" s="160">
        <v>0.183300624</v>
      </c>
      <c r="Z48" t="s">
        <v>35</v>
      </c>
    </row>
    <row r="49" spans="4:26" x14ac:dyDescent="0.25">
      <c r="D49" s="149"/>
      <c r="F49">
        <v>8</v>
      </c>
      <c r="I49">
        <v>1</v>
      </c>
      <c r="J49">
        <v>0</v>
      </c>
      <c r="K49">
        <v>0</v>
      </c>
      <c r="L49">
        <v>0</v>
      </c>
      <c r="V49">
        <v>0</v>
      </c>
      <c r="W49">
        <v>0</v>
      </c>
      <c r="Y49" s="160">
        <v>0</v>
      </c>
    </row>
    <row r="50" spans="4:26" x14ac:dyDescent="0.25">
      <c r="F50">
        <v>9</v>
      </c>
      <c r="G50" t="s">
        <v>249</v>
      </c>
      <c r="I50">
        <v>1</v>
      </c>
      <c r="J50">
        <v>11478.835999999999</v>
      </c>
      <c r="K50" t="s">
        <v>119</v>
      </c>
      <c r="L50">
        <v>1028</v>
      </c>
      <c r="M50" t="s">
        <v>120</v>
      </c>
      <c r="N50" t="s">
        <v>104</v>
      </c>
      <c r="O50">
        <v>11800243.408</v>
      </c>
      <c r="P50" t="e">
        <v>#REF!</v>
      </c>
      <c r="Q50">
        <v>1E-3</v>
      </c>
      <c r="R50" t="s">
        <v>247</v>
      </c>
      <c r="S50">
        <v>1E-4</v>
      </c>
      <c r="T50" t="s">
        <v>247</v>
      </c>
      <c r="U50">
        <v>1</v>
      </c>
      <c r="V50">
        <v>11800.243408</v>
      </c>
      <c r="W50">
        <v>1180.0243408000001</v>
      </c>
      <c r="Y50" s="160">
        <v>613.612657216</v>
      </c>
      <c r="Z50" t="s">
        <v>249</v>
      </c>
    </row>
  </sheetData>
  <mergeCells count="4">
    <mergeCell ref="J20:K20"/>
    <mergeCell ref="L20:P20"/>
    <mergeCell ref="Q20:R20"/>
    <mergeCell ref="U20:V20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5"/>
  <sheetViews>
    <sheetView topLeftCell="A40" workbookViewId="0">
      <selection activeCell="E3" sqref="E3"/>
    </sheetView>
  </sheetViews>
  <sheetFormatPr defaultRowHeight="15" x14ac:dyDescent="0.25"/>
  <cols>
    <col min="1" max="1" width="43.28515625" customWidth="1"/>
    <col min="2" max="2" width="10.140625" bestFit="1" customWidth="1"/>
    <col min="4" max="4" width="34.5703125" customWidth="1"/>
    <col min="6" max="6" width="16" bestFit="1" customWidth="1"/>
    <col min="7" max="7" width="16" style="156" bestFit="1" customWidth="1"/>
    <col min="8" max="8" width="13.28515625" bestFit="1" customWidth="1"/>
  </cols>
  <sheetData>
    <row r="1" spans="1:10" ht="32.25" thickBot="1" x14ac:dyDescent="0.3">
      <c r="A1" s="153" t="s">
        <v>219</v>
      </c>
      <c r="B1" s="151">
        <v>2014</v>
      </c>
      <c r="D1" s="145"/>
      <c r="E1" s="146"/>
    </row>
    <row r="2" spans="1:10" ht="18" x14ac:dyDescent="0.35">
      <c r="B2" s="171" t="s">
        <v>252</v>
      </c>
      <c r="C2" s="171"/>
      <c r="D2" s="172"/>
      <c r="E2" s="161">
        <v>0.437</v>
      </c>
      <c r="F2" t="s">
        <v>253</v>
      </c>
    </row>
    <row r="3" spans="1:10" ht="18" x14ac:dyDescent="0.35">
      <c r="B3" s="173" t="s">
        <v>221</v>
      </c>
      <c r="C3" s="173"/>
      <c r="D3" s="173"/>
      <c r="E3" s="176">
        <f>'Known Resources'!C41</f>
        <v>0.24995518390101981</v>
      </c>
      <c r="F3" t="s">
        <v>253</v>
      </c>
    </row>
    <row r="4" spans="1:10" ht="45" x14ac:dyDescent="0.25">
      <c r="A4" s="152" t="s">
        <v>199</v>
      </c>
      <c r="B4" s="152" t="s">
        <v>200</v>
      </c>
      <c r="C4" s="152"/>
      <c r="D4" s="152" t="s">
        <v>199</v>
      </c>
      <c r="E4" s="152" t="s">
        <v>201</v>
      </c>
      <c r="F4" s="154" t="s">
        <v>220</v>
      </c>
      <c r="G4" s="155" t="s">
        <v>226</v>
      </c>
      <c r="H4" s="155"/>
    </row>
    <row r="5" spans="1:10" x14ac:dyDescent="0.25">
      <c r="A5" s="139" t="s">
        <v>122</v>
      </c>
      <c r="B5" s="142">
        <v>2200</v>
      </c>
      <c r="D5" s="139"/>
      <c r="E5" s="142"/>
      <c r="F5" s="149">
        <f>B5-E5</f>
        <v>2200</v>
      </c>
      <c r="G5" s="156">
        <f>IF(F5&gt;0,F5*$E$2,F5*$E$3)</f>
        <v>961.4</v>
      </c>
    </row>
    <row r="6" spans="1:10" x14ac:dyDescent="0.25">
      <c r="A6" s="139" t="s">
        <v>202</v>
      </c>
      <c r="B6" s="142">
        <v>601428</v>
      </c>
      <c r="D6" s="147" t="s">
        <v>202</v>
      </c>
      <c r="E6" s="148">
        <v>99590</v>
      </c>
      <c r="F6" s="149">
        <f t="shared" ref="F6:F60" si="0">B6-E6</f>
        <v>501838</v>
      </c>
      <c r="G6" s="156">
        <f t="shared" ref="G6:G60" si="1">IF(F6&gt;0,F6*$E$2,F6*$E$3)</f>
        <v>219303.20600000001</v>
      </c>
    </row>
    <row r="7" spans="1:10" x14ac:dyDescent="0.25">
      <c r="A7" s="139" t="s">
        <v>123</v>
      </c>
      <c r="B7" s="142">
        <v>60256</v>
      </c>
      <c r="D7" s="147" t="s">
        <v>123</v>
      </c>
      <c r="E7" s="148">
        <v>58366</v>
      </c>
      <c r="F7" s="149">
        <f t="shared" si="0"/>
        <v>1890</v>
      </c>
      <c r="G7" s="156">
        <f t="shared" si="1"/>
        <v>825.93</v>
      </c>
    </row>
    <row r="8" spans="1:10" x14ac:dyDescent="0.25">
      <c r="A8" s="139"/>
      <c r="B8" s="142"/>
      <c r="D8" s="147" t="s">
        <v>203</v>
      </c>
      <c r="E8" s="148">
        <v>38</v>
      </c>
      <c r="F8" s="149">
        <f t="shared" si="0"/>
        <v>-38</v>
      </c>
      <c r="G8" s="156">
        <f t="shared" si="1"/>
        <v>-9.4982969882387529</v>
      </c>
    </row>
    <row r="9" spans="1:10" x14ac:dyDescent="0.25">
      <c r="A9" s="139" t="s">
        <v>124</v>
      </c>
      <c r="B9" s="142">
        <v>800</v>
      </c>
      <c r="D9" s="147" t="s">
        <v>124</v>
      </c>
      <c r="E9" s="148">
        <v>1600</v>
      </c>
      <c r="F9" s="149">
        <f t="shared" si="0"/>
        <v>-800</v>
      </c>
      <c r="G9" s="156">
        <f t="shared" si="1"/>
        <v>-199.96414712081585</v>
      </c>
      <c r="J9" s="157"/>
    </row>
    <row r="10" spans="1:10" x14ac:dyDescent="0.25">
      <c r="A10" s="139"/>
      <c r="B10" s="142"/>
      <c r="D10" s="147" t="s">
        <v>204</v>
      </c>
      <c r="E10" s="148">
        <v>1600</v>
      </c>
      <c r="F10" s="149">
        <f t="shared" si="0"/>
        <v>-1600</v>
      </c>
      <c r="G10" s="156">
        <f t="shared" si="1"/>
        <v>-399.9282942416317</v>
      </c>
    </row>
    <row r="11" spans="1:10" x14ac:dyDescent="0.25">
      <c r="A11" s="139" t="s">
        <v>125</v>
      </c>
      <c r="B11" s="142">
        <v>38134</v>
      </c>
      <c r="D11" s="147" t="s">
        <v>125</v>
      </c>
      <c r="E11" s="148">
        <v>45550</v>
      </c>
      <c r="F11" s="149">
        <f t="shared" si="0"/>
        <v>-7416</v>
      </c>
      <c r="G11" s="156">
        <f t="shared" si="1"/>
        <v>-1853.667643809963</v>
      </c>
    </row>
    <row r="12" spans="1:10" x14ac:dyDescent="0.25">
      <c r="A12" s="139" t="s">
        <v>126</v>
      </c>
      <c r="B12" s="142">
        <v>46698</v>
      </c>
      <c r="D12" s="147" t="s">
        <v>126</v>
      </c>
      <c r="E12" s="148">
        <v>188645</v>
      </c>
      <c r="F12" s="149">
        <f t="shared" si="0"/>
        <v>-141947</v>
      </c>
      <c r="G12" s="156">
        <f t="shared" si="1"/>
        <v>-35480.388489198056</v>
      </c>
    </row>
    <row r="13" spans="1:10" x14ac:dyDescent="0.25">
      <c r="A13" s="139" t="s">
        <v>127</v>
      </c>
      <c r="B13" s="142">
        <v>6065</v>
      </c>
      <c r="D13" s="147" t="s">
        <v>127</v>
      </c>
      <c r="E13" s="148">
        <v>112802</v>
      </c>
      <c r="F13" s="149">
        <f t="shared" si="0"/>
        <v>-106737</v>
      </c>
      <c r="G13" s="156">
        <f t="shared" si="1"/>
        <v>-26679.466464043151</v>
      </c>
    </row>
    <row r="14" spans="1:10" x14ac:dyDescent="0.25">
      <c r="A14" s="139" t="s">
        <v>128</v>
      </c>
      <c r="B14" s="142">
        <v>13255</v>
      </c>
      <c r="D14" s="147" t="s">
        <v>128</v>
      </c>
      <c r="E14" s="148">
        <v>15774</v>
      </c>
      <c r="F14" s="149">
        <f t="shared" si="0"/>
        <v>-2519</v>
      </c>
      <c r="G14" s="156">
        <f t="shared" si="1"/>
        <v>-629.63710824666896</v>
      </c>
    </row>
    <row r="15" spans="1:10" x14ac:dyDescent="0.25">
      <c r="A15" s="139" t="s">
        <v>129</v>
      </c>
      <c r="B15" s="142">
        <v>486</v>
      </c>
      <c r="D15" s="147" t="s">
        <v>129</v>
      </c>
      <c r="E15" s="148">
        <v>1233</v>
      </c>
      <c r="F15" s="149">
        <f t="shared" si="0"/>
        <v>-747</v>
      </c>
      <c r="G15" s="156">
        <f t="shared" si="1"/>
        <v>-186.71652237406181</v>
      </c>
    </row>
    <row r="16" spans="1:10" x14ac:dyDescent="0.25">
      <c r="A16" s="139"/>
      <c r="B16" s="142"/>
      <c r="D16" s="147" t="s">
        <v>205</v>
      </c>
      <c r="E16" s="148">
        <v>400</v>
      </c>
      <c r="F16" s="149">
        <f t="shared" si="0"/>
        <v>-400</v>
      </c>
      <c r="G16" s="156">
        <f t="shared" si="1"/>
        <v>-99.982073560407926</v>
      </c>
    </row>
    <row r="17" spans="1:7" x14ac:dyDescent="0.25">
      <c r="A17" s="139" t="s">
        <v>130</v>
      </c>
      <c r="B17" s="142">
        <v>17000</v>
      </c>
      <c r="D17" s="147" t="s">
        <v>206</v>
      </c>
      <c r="E17" s="148">
        <v>163512</v>
      </c>
      <c r="F17" s="149">
        <f t="shared" si="0"/>
        <v>-146512</v>
      </c>
      <c r="G17" s="156">
        <f t="shared" si="1"/>
        <v>-36621.433903706216</v>
      </c>
    </row>
    <row r="18" spans="1:7" x14ac:dyDescent="0.25">
      <c r="A18" s="139" t="s">
        <v>131</v>
      </c>
      <c r="B18" s="142">
        <v>28578</v>
      </c>
      <c r="D18" s="147" t="s">
        <v>131</v>
      </c>
      <c r="E18" s="148">
        <v>29546</v>
      </c>
      <c r="F18" s="149">
        <f t="shared" si="0"/>
        <v>-968</v>
      </c>
      <c r="G18" s="156">
        <f t="shared" si="1"/>
        <v>-241.95661801618718</v>
      </c>
    </row>
    <row r="19" spans="1:7" x14ac:dyDescent="0.25">
      <c r="A19" s="139" t="s">
        <v>132</v>
      </c>
      <c r="B19" s="142">
        <v>14366</v>
      </c>
      <c r="D19" s="147" t="s">
        <v>132</v>
      </c>
      <c r="E19" s="148">
        <v>12301</v>
      </c>
      <c r="F19" s="149">
        <f t="shared" si="0"/>
        <v>2065</v>
      </c>
      <c r="G19" s="156">
        <f t="shared" si="1"/>
        <v>902.40499999999997</v>
      </c>
    </row>
    <row r="20" spans="1:7" x14ac:dyDescent="0.25">
      <c r="A20" s="139" t="s">
        <v>133</v>
      </c>
      <c r="B20" s="142">
        <v>17267</v>
      </c>
      <c r="D20" s="147" t="s">
        <v>133</v>
      </c>
      <c r="E20" s="148">
        <v>19036</v>
      </c>
      <c r="F20" s="149">
        <f t="shared" si="0"/>
        <v>-1769</v>
      </c>
      <c r="G20" s="156">
        <f t="shared" si="1"/>
        <v>-442.17072032090402</v>
      </c>
    </row>
    <row r="21" spans="1:7" x14ac:dyDescent="0.25">
      <c r="A21" s="139" t="s">
        <v>134</v>
      </c>
      <c r="B21" s="142">
        <v>16500</v>
      </c>
      <c r="D21" s="147" t="s">
        <v>134</v>
      </c>
      <c r="E21" s="148">
        <v>12393</v>
      </c>
      <c r="F21" s="149">
        <f t="shared" si="0"/>
        <v>4107</v>
      </c>
      <c r="G21" s="156">
        <f t="shared" si="1"/>
        <v>1794.759</v>
      </c>
    </row>
    <row r="22" spans="1:7" x14ac:dyDescent="0.25">
      <c r="A22" s="139" t="s">
        <v>135</v>
      </c>
      <c r="B22" s="142">
        <v>6</v>
      </c>
      <c r="D22" s="147" t="s">
        <v>135</v>
      </c>
      <c r="E22" s="148">
        <v>75</v>
      </c>
      <c r="F22" s="149">
        <f t="shared" si="0"/>
        <v>-69</v>
      </c>
      <c r="G22" s="156">
        <f t="shared" si="1"/>
        <v>-17.246907689170367</v>
      </c>
    </row>
    <row r="23" spans="1:7" x14ac:dyDescent="0.25">
      <c r="A23" s="139" t="s">
        <v>136</v>
      </c>
      <c r="B23" s="142">
        <v>128229</v>
      </c>
      <c r="D23" s="147" t="s">
        <v>136</v>
      </c>
      <c r="E23" s="148">
        <v>384784</v>
      </c>
      <c r="F23" s="149">
        <f t="shared" si="0"/>
        <v>-256555</v>
      </c>
      <c r="G23" s="156">
        <f t="shared" si="1"/>
        <v>-64127.252205726138</v>
      </c>
    </row>
    <row r="24" spans="1:7" x14ac:dyDescent="0.25">
      <c r="A24" s="139" t="s">
        <v>137</v>
      </c>
      <c r="B24" s="142">
        <v>3024</v>
      </c>
      <c r="D24" s="147"/>
      <c r="E24" s="148"/>
      <c r="F24" s="149">
        <f t="shared" si="0"/>
        <v>3024</v>
      </c>
      <c r="G24" s="156">
        <f t="shared" si="1"/>
        <v>1321.4880000000001</v>
      </c>
    </row>
    <row r="25" spans="1:7" x14ac:dyDescent="0.25">
      <c r="A25" s="139" t="s">
        <v>138</v>
      </c>
      <c r="B25" s="142">
        <v>335018</v>
      </c>
      <c r="D25" s="147" t="s">
        <v>138</v>
      </c>
      <c r="E25" s="148">
        <v>142262</v>
      </c>
      <c r="F25" s="149">
        <f t="shared" si="0"/>
        <v>192756</v>
      </c>
      <c r="G25" s="156">
        <f t="shared" si="1"/>
        <v>84234.372000000003</v>
      </c>
    </row>
    <row r="26" spans="1:7" x14ac:dyDescent="0.25">
      <c r="A26" s="139" t="s">
        <v>207</v>
      </c>
      <c r="B26" s="142">
        <v>65</v>
      </c>
      <c r="D26" s="147"/>
      <c r="E26" s="148"/>
      <c r="F26" s="149">
        <f t="shared" si="0"/>
        <v>65</v>
      </c>
      <c r="G26" s="156">
        <f t="shared" si="1"/>
        <v>28.405000000000001</v>
      </c>
    </row>
    <row r="27" spans="1:7" x14ac:dyDescent="0.25">
      <c r="A27" s="139" t="s">
        <v>209</v>
      </c>
      <c r="B27" s="142">
        <v>5475</v>
      </c>
      <c r="D27" s="147" t="s">
        <v>208</v>
      </c>
      <c r="E27" s="148">
        <v>16512</v>
      </c>
      <c r="F27" s="149">
        <f t="shared" si="0"/>
        <v>-11037</v>
      </c>
      <c r="G27" s="156">
        <f t="shared" si="1"/>
        <v>-2758.7553647155555</v>
      </c>
    </row>
    <row r="28" spans="1:7" x14ac:dyDescent="0.25">
      <c r="A28" s="139" t="s">
        <v>139</v>
      </c>
      <c r="B28" s="142">
        <v>800</v>
      </c>
      <c r="D28" s="147" t="s">
        <v>139</v>
      </c>
      <c r="E28" s="148">
        <v>24800</v>
      </c>
      <c r="F28" s="149">
        <f t="shared" si="0"/>
        <v>-24000</v>
      </c>
      <c r="G28" s="156">
        <f t="shared" si="1"/>
        <v>-5998.9244136244752</v>
      </c>
    </row>
    <row r="29" spans="1:7" x14ac:dyDescent="0.25">
      <c r="A29" s="139" t="s">
        <v>140</v>
      </c>
      <c r="B29" s="142">
        <v>701</v>
      </c>
      <c r="D29" s="147" t="s">
        <v>140</v>
      </c>
      <c r="E29" s="148">
        <v>695</v>
      </c>
      <c r="F29" s="149">
        <f t="shared" si="0"/>
        <v>6</v>
      </c>
      <c r="G29" s="156">
        <f t="shared" si="1"/>
        <v>2.6219999999999999</v>
      </c>
    </row>
    <row r="30" spans="1:7" x14ac:dyDescent="0.25">
      <c r="A30" s="139" t="s">
        <v>141</v>
      </c>
      <c r="B30" s="142">
        <v>33853</v>
      </c>
      <c r="D30" s="147" t="s">
        <v>141</v>
      </c>
      <c r="E30" s="148">
        <v>112678</v>
      </c>
      <c r="F30" s="149">
        <f t="shared" si="0"/>
        <v>-78825</v>
      </c>
      <c r="G30" s="156">
        <f t="shared" si="1"/>
        <v>-19702.717370997885</v>
      </c>
    </row>
    <row r="31" spans="1:7" x14ac:dyDescent="0.25">
      <c r="A31" s="139"/>
      <c r="B31" s="142"/>
      <c r="D31" s="147" t="s">
        <v>210</v>
      </c>
      <c r="E31" s="148">
        <v>7091</v>
      </c>
      <c r="F31" s="149">
        <f t="shared" si="0"/>
        <v>-7091</v>
      </c>
      <c r="G31" s="156">
        <f t="shared" si="1"/>
        <v>-1772.4322090421315</v>
      </c>
    </row>
    <row r="32" spans="1:7" x14ac:dyDescent="0.25">
      <c r="A32" s="139" t="s">
        <v>142</v>
      </c>
      <c r="B32" s="142">
        <v>70688</v>
      </c>
      <c r="D32" s="147" t="s">
        <v>142</v>
      </c>
      <c r="E32" s="148">
        <v>188835</v>
      </c>
      <c r="F32" s="149">
        <f t="shared" si="0"/>
        <v>-118147</v>
      </c>
      <c r="G32" s="156">
        <f t="shared" si="1"/>
        <v>-29531.455112353789</v>
      </c>
    </row>
    <row r="33" spans="1:7" x14ac:dyDescent="0.25">
      <c r="A33" s="139"/>
      <c r="B33" s="142"/>
      <c r="D33" s="147" t="s">
        <v>211</v>
      </c>
      <c r="E33" s="148">
        <v>5912</v>
      </c>
      <c r="F33" s="149">
        <f t="shared" si="0"/>
        <v>-5912</v>
      </c>
      <c r="G33" s="156">
        <f t="shared" si="1"/>
        <v>-1477.7350472228291</v>
      </c>
    </row>
    <row r="34" spans="1:7" x14ac:dyDescent="0.25">
      <c r="A34" s="139"/>
      <c r="B34" s="142"/>
      <c r="D34" s="147" t="s">
        <v>212</v>
      </c>
      <c r="E34" s="148">
        <v>1473</v>
      </c>
      <c r="F34" s="149">
        <f t="shared" si="0"/>
        <v>-1473</v>
      </c>
      <c r="G34" s="156">
        <f t="shared" si="1"/>
        <v>-368.18398588620221</v>
      </c>
    </row>
    <row r="35" spans="1:7" x14ac:dyDescent="0.25">
      <c r="A35" s="139" t="s">
        <v>143</v>
      </c>
      <c r="B35" s="142">
        <v>40974</v>
      </c>
      <c r="D35" s="147" t="s">
        <v>143</v>
      </c>
      <c r="E35" s="148">
        <v>49934</v>
      </c>
      <c r="F35" s="149">
        <f t="shared" si="0"/>
        <v>-8960</v>
      </c>
      <c r="G35" s="156">
        <f t="shared" si="1"/>
        <v>-2239.5984477531374</v>
      </c>
    </row>
    <row r="36" spans="1:7" x14ac:dyDescent="0.25">
      <c r="A36" s="139"/>
      <c r="B36" s="142"/>
      <c r="D36" s="147" t="s">
        <v>213</v>
      </c>
      <c r="E36" s="148">
        <v>963</v>
      </c>
      <c r="F36" s="149">
        <f t="shared" si="0"/>
        <v>-963</v>
      </c>
      <c r="G36" s="156">
        <f t="shared" si="1"/>
        <v>-240.70684209668207</v>
      </c>
    </row>
    <row r="37" spans="1:7" x14ac:dyDescent="0.25">
      <c r="A37" s="139" t="s">
        <v>144</v>
      </c>
      <c r="B37" s="142">
        <v>7953</v>
      </c>
      <c r="D37" s="147" t="s">
        <v>144</v>
      </c>
      <c r="E37" s="148">
        <v>127557</v>
      </c>
      <c r="F37" s="149">
        <f t="shared" si="0"/>
        <v>-119604</v>
      </c>
      <c r="G37" s="156">
        <f t="shared" si="1"/>
        <v>-29895.639815297574</v>
      </c>
    </row>
    <row r="38" spans="1:7" x14ac:dyDescent="0.25">
      <c r="A38" s="139" t="s">
        <v>145</v>
      </c>
      <c r="B38" s="142">
        <v>110504</v>
      </c>
      <c r="D38" s="147" t="s">
        <v>145</v>
      </c>
      <c r="E38" s="148">
        <v>106400</v>
      </c>
      <c r="F38" s="149">
        <f t="shared" si="0"/>
        <v>4104</v>
      </c>
      <c r="G38" s="156">
        <f t="shared" si="1"/>
        <v>1793.4480000000001</v>
      </c>
    </row>
    <row r="39" spans="1:7" x14ac:dyDescent="0.25">
      <c r="A39" s="139" t="s">
        <v>146</v>
      </c>
      <c r="B39" s="142">
        <v>44415</v>
      </c>
      <c r="D39" s="147" t="s">
        <v>146</v>
      </c>
      <c r="E39" s="148">
        <v>112215</v>
      </c>
      <c r="F39" s="149">
        <f t="shared" si="0"/>
        <v>-67800</v>
      </c>
      <c r="G39" s="156">
        <f t="shared" si="1"/>
        <v>-16946.961468489142</v>
      </c>
    </row>
    <row r="40" spans="1:7" x14ac:dyDescent="0.25">
      <c r="A40" s="139" t="s">
        <v>147</v>
      </c>
      <c r="B40" s="142">
        <v>62099</v>
      </c>
      <c r="D40" s="147" t="s">
        <v>147</v>
      </c>
      <c r="E40" s="148">
        <v>258716</v>
      </c>
      <c r="F40" s="149">
        <f t="shared" si="0"/>
        <v>-196617</v>
      </c>
      <c r="G40" s="156">
        <f t="shared" si="1"/>
        <v>-49145.438393066812</v>
      </c>
    </row>
    <row r="41" spans="1:7" x14ac:dyDescent="0.25">
      <c r="A41" s="139"/>
      <c r="B41" s="142"/>
      <c r="D41" s="147" t="s">
        <v>214</v>
      </c>
      <c r="E41" s="148">
        <v>17442</v>
      </c>
      <c r="F41" s="149">
        <f t="shared" si="0"/>
        <v>-17442</v>
      </c>
      <c r="G41" s="156">
        <f t="shared" si="1"/>
        <v>-4359.7183176015878</v>
      </c>
    </row>
    <row r="42" spans="1:7" x14ac:dyDescent="0.25">
      <c r="A42" s="139" t="s">
        <v>148</v>
      </c>
      <c r="B42" s="142">
        <v>26555</v>
      </c>
      <c r="D42" s="147" t="s">
        <v>148</v>
      </c>
      <c r="E42" s="148">
        <v>16049</v>
      </c>
      <c r="F42" s="149">
        <f t="shared" si="0"/>
        <v>10506</v>
      </c>
      <c r="G42" s="156">
        <f t="shared" si="1"/>
        <v>4591.1220000000003</v>
      </c>
    </row>
    <row r="43" spans="1:7" x14ac:dyDescent="0.25">
      <c r="A43" s="139" t="s">
        <v>149</v>
      </c>
      <c r="B43" s="142">
        <v>22330</v>
      </c>
      <c r="D43" s="147" t="s">
        <v>149</v>
      </c>
      <c r="E43" s="148">
        <v>14685</v>
      </c>
      <c r="F43" s="149">
        <f t="shared" si="0"/>
        <v>7645</v>
      </c>
      <c r="G43" s="156">
        <f t="shared" si="1"/>
        <v>3340.8649999999998</v>
      </c>
    </row>
    <row r="44" spans="1:7" x14ac:dyDescent="0.25">
      <c r="A44" s="139"/>
      <c r="B44" s="142"/>
      <c r="D44" s="147" t="s">
        <v>150</v>
      </c>
      <c r="E44" s="148">
        <v>78865</v>
      </c>
      <c r="F44" s="149">
        <f t="shared" si="0"/>
        <v>-78865</v>
      </c>
      <c r="G44" s="156">
        <f t="shared" si="1"/>
        <v>-19712.715578353927</v>
      </c>
    </row>
    <row r="45" spans="1:7" x14ac:dyDescent="0.25">
      <c r="A45" s="139" t="s">
        <v>151</v>
      </c>
      <c r="B45" s="142">
        <v>39759</v>
      </c>
      <c r="D45" s="147" t="s">
        <v>151</v>
      </c>
      <c r="E45" s="148">
        <v>11836</v>
      </c>
      <c r="F45" s="149">
        <f t="shared" si="0"/>
        <v>27923</v>
      </c>
      <c r="G45" s="156">
        <f t="shared" si="1"/>
        <v>12202.351000000001</v>
      </c>
    </row>
    <row r="46" spans="1:7" x14ac:dyDescent="0.25">
      <c r="A46" s="139" t="s">
        <v>152</v>
      </c>
      <c r="B46" s="142">
        <v>60183</v>
      </c>
      <c r="D46" s="147" t="s">
        <v>152</v>
      </c>
      <c r="E46" s="148">
        <v>343593</v>
      </c>
      <c r="F46" s="149">
        <f t="shared" si="0"/>
        <v>-283410</v>
      </c>
      <c r="G46" s="156">
        <f t="shared" si="1"/>
        <v>-70839.798669388023</v>
      </c>
    </row>
    <row r="47" spans="1:7" x14ac:dyDescent="0.25">
      <c r="A47" s="139" t="s">
        <v>153</v>
      </c>
      <c r="B47" s="142">
        <v>24820</v>
      </c>
      <c r="D47" s="147" t="s">
        <v>153</v>
      </c>
      <c r="E47" s="148">
        <v>26354</v>
      </c>
      <c r="F47" s="149">
        <f t="shared" si="0"/>
        <v>-1534</v>
      </c>
      <c r="G47" s="156">
        <f t="shared" si="1"/>
        <v>-383.4312521041644</v>
      </c>
    </row>
    <row r="48" spans="1:7" x14ac:dyDescent="0.25">
      <c r="A48" s="139" t="s">
        <v>155</v>
      </c>
      <c r="B48" s="142">
        <v>29714</v>
      </c>
      <c r="D48" s="147" t="s">
        <v>155</v>
      </c>
      <c r="E48" s="148">
        <v>12576</v>
      </c>
      <c r="F48" s="149">
        <f t="shared" si="0"/>
        <v>17138</v>
      </c>
      <c r="G48" s="156">
        <f t="shared" si="1"/>
        <v>7489.3059999999996</v>
      </c>
    </row>
    <row r="49" spans="1:8" x14ac:dyDescent="0.25">
      <c r="A49" s="139" t="s">
        <v>156</v>
      </c>
      <c r="B49" s="142">
        <v>47796</v>
      </c>
      <c r="D49" s="147" t="s">
        <v>156</v>
      </c>
      <c r="E49" s="148">
        <v>466621</v>
      </c>
      <c r="F49" s="149">
        <f t="shared" si="0"/>
        <v>-418825</v>
      </c>
      <c r="G49" s="156">
        <f t="shared" si="1"/>
        <v>-104687.47989734462</v>
      </c>
    </row>
    <row r="50" spans="1:8" x14ac:dyDescent="0.25">
      <c r="A50" s="139"/>
      <c r="B50" s="142"/>
      <c r="D50" s="147" t="s">
        <v>216</v>
      </c>
      <c r="E50" s="148">
        <v>373</v>
      </c>
      <c r="F50" s="149">
        <f t="shared" si="0"/>
        <v>-373</v>
      </c>
      <c r="G50" s="156">
        <f t="shared" si="1"/>
        <v>-93.233283595080394</v>
      </c>
    </row>
    <row r="51" spans="1:8" x14ac:dyDescent="0.25">
      <c r="A51" s="139" t="s">
        <v>157</v>
      </c>
      <c r="B51" s="142">
        <v>1600</v>
      </c>
      <c r="D51" s="147" t="s">
        <v>157</v>
      </c>
      <c r="E51" s="148">
        <v>561428</v>
      </c>
      <c r="F51" s="149">
        <f t="shared" si="0"/>
        <v>-559828</v>
      </c>
      <c r="G51" s="156">
        <f t="shared" si="1"/>
        <v>-139931.91069294012</v>
      </c>
    </row>
    <row r="52" spans="1:8" x14ac:dyDescent="0.25">
      <c r="A52" s="139" t="s">
        <v>158</v>
      </c>
      <c r="B52" s="142">
        <v>3510</v>
      </c>
      <c r="D52" s="147"/>
      <c r="E52" s="148"/>
      <c r="F52" s="149">
        <f t="shared" si="0"/>
        <v>3510</v>
      </c>
      <c r="G52" s="156">
        <f t="shared" si="1"/>
        <v>1533.87</v>
      </c>
    </row>
    <row r="53" spans="1:8" x14ac:dyDescent="0.25">
      <c r="A53" s="139" t="s">
        <v>159</v>
      </c>
      <c r="B53" s="142">
        <v>6835</v>
      </c>
      <c r="D53" s="147" t="s">
        <v>159</v>
      </c>
      <c r="E53" s="148">
        <v>13274</v>
      </c>
      <c r="F53" s="149">
        <f t="shared" si="0"/>
        <v>-6439</v>
      </c>
      <c r="G53" s="156">
        <f t="shared" si="1"/>
        <v>-1609.4614291386665</v>
      </c>
    </row>
    <row r="54" spans="1:8" x14ac:dyDescent="0.25">
      <c r="A54" s="139" t="s">
        <v>215</v>
      </c>
      <c r="B54" s="142">
        <v>132722</v>
      </c>
      <c r="D54" s="147"/>
      <c r="E54" s="148"/>
      <c r="F54" s="149">
        <f t="shared" si="0"/>
        <v>132722</v>
      </c>
      <c r="G54" s="156">
        <f t="shared" si="1"/>
        <v>57999.514000000003</v>
      </c>
    </row>
    <row r="55" spans="1:8" x14ac:dyDescent="0.25">
      <c r="A55" s="139" t="s">
        <v>160</v>
      </c>
      <c r="B55" s="142">
        <v>46120</v>
      </c>
      <c r="D55" s="147" t="s">
        <v>160</v>
      </c>
      <c r="E55" s="148">
        <v>13592</v>
      </c>
      <c r="F55" s="149">
        <f t="shared" si="0"/>
        <v>32528</v>
      </c>
      <c r="G55" s="156">
        <f t="shared" si="1"/>
        <v>14214.736000000001</v>
      </c>
    </row>
    <row r="56" spans="1:8" x14ac:dyDescent="0.25">
      <c r="A56" s="139" t="s">
        <v>161</v>
      </c>
      <c r="B56" s="142">
        <v>989072</v>
      </c>
      <c r="D56" s="147" t="s">
        <v>161</v>
      </c>
      <c r="E56" s="148">
        <v>45798</v>
      </c>
      <c r="F56" s="149">
        <f t="shared" si="0"/>
        <v>943274</v>
      </c>
      <c r="G56" s="156">
        <f t="shared" si="1"/>
        <v>412210.73800000001</v>
      </c>
    </row>
    <row r="57" spans="1:8" x14ac:dyDescent="0.25">
      <c r="A57" s="139" t="s">
        <v>162</v>
      </c>
      <c r="B57" s="142">
        <v>10327</v>
      </c>
      <c r="D57" s="147" t="s">
        <v>162</v>
      </c>
      <c r="E57" s="148">
        <v>4126</v>
      </c>
      <c r="F57" s="149">
        <f t="shared" si="0"/>
        <v>6201</v>
      </c>
      <c r="G57" s="156">
        <f t="shared" si="1"/>
        <v>2709.837</v>
      </c>
    </row>
    <row r="58" spans="1:8" x14ac:dyDescent="0.25">
      <c r="A58" s="139" t="s">
        <v>163</v>
      </c>
      <c r="B58" s="142">
        <v>99870</v>
      </c>
      <c r="D58" s="147" t="s">
        <v>163</v>
      </c>
      <c r="E58" s="148">
        <v>119710</v>
      </c>
      <c r="F58" s="149">
        <f t="shared" si="0"/>
        <v>-19840</v>
      </c>
      <c r="G58" s="156">
        <f t="shared" si="1"/>
        <v>-4959.1108485962332</v>
      </c>
    </row>
    <row r="59" spans="1:8" x14ac:dyDescent="0.25">
      <c r="A59" s="139" t="s">
        <v>164</v>
      </c>
      <c r="B59" s="142">
        <v>7</v>
      </c>
      <c r="D59" s="147" t="s">
        <v>164</v>
      </c>
      <c r="E59" s="148">
        <v>200</v>
      </c>
      <c r="F59" s="149">
        <f t="shared" si="0"/>
        <v>-193</v>
      </c>
      <c r="G59" s="156">
        <f t="shared" si="1"/>
        <v>-48.241350492896821</v>
      </c>
    </row>
    <row r="60" spans="1:8" x14ac:dyDescent="0.25">
      <c r="D60" s="147" t="s">
        <v>217</v>
      </c>
      <c r="E60" s="148">
        <v>801</v>
      </c>
      <c r="F60" s="149">
        <f t="shared" si="0"/>
        <v>-801</v>
      </c>
      <c r="G60" s="156">
        <f t="shared" si="1"/>
        <v>-200.21410230471687</v>
      </c>
    </row>
    <row r="61" spans="1:8" x14ac:dyDescent="0.25">
      <c r="B61" s="149"/>
      <c r="D61" s="147"/>
      <c r="E61" s="148"/>
    </row>
    <row r="62" spans="1:8" x14ac:dyDescent="0.25">
      <c r="E62" s="149"/>
      <c r="F62" s="149">
        <f>SUM(F5:F60)</f>
        <v>-802554</v>
      </c>
      <c r="G62" s="156">
        <f>SUM(G5:G60)/2000</f>
        <v>76.783600356276096</v>
      </c>
      <c r="H62" s="156"/>
    </row>
    <row r="63" spans="1:8" ht="45" x14ac:dyDescent="0.25">
      <c r="B63" s="150"/>
      <c r="F63" s="152" t="s">
        <v>225</v>
      </c>
      <c r="G63" s="158" t="s">
        <v>224</v>
      </c>
      <c r="H63" s="152"/>
    </row>
    <row r="65" spans="1:6" x14ac:dyDescent="0.25">
      <c r="A65" t="s">
        <v>223</v>
      </c>
    </row>
    <row r="66" spans="1:6" x14ac:dyDescent="0.25">
      <c r="A66" s="139" t="s">
        <v>222</v>
      </c>
    </row>
    <row r="74" spans="1:6" x14ac:dyDescent="0.25">
      <c r="F74" s="149"/>
    </row>
    <row r="85" spans="6:6" x14ac:dyDescent="0.25">
      <c r="F85" s="149"/>
    </row>
  </sheetData>
  <mergeCells count="2">
    <mergeCell ref="B2:D2"/>
    <mergeCell ref="B3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ECA645F23003C46B84054C42F9D5FA9" ma:contentTypeVersion="44" ma:contentTypeDescription="" ma:contentTypeScope="" ma:versionID="0e1795185b2d8597e0fa603190e8bd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2021-06-07T07:00:00+00:00</OpenedDate>
    <Date1 xmlns="dc463f71-b30c-4ab2-9473-d307f9d35888">2021-06-07T07:00:00+00:00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210422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0BD416-5839-4F43-9FA5-773F6234C034}"/>
</file>

<file path=customXml/itemProps2.xml><?xml version="1.0" encoding="utf-8"?>
<ds:datastoreItem xmlns:ds="http://schemas.openxmlformats.org/officeDocument/2006/customXml" ds:itemID="{57BE1F28-303A-4833-8A05-0A33588D1988}">
  <ds:schemaRefs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dc463f71-b30c-4ab2-9473-d307f9d35888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6EB751C-A73F-412F-953B-0DB9BDF20A98}"/>
</file>

<file path=customXml/itemProps4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dcterms:created xsi:type="dcterms:W3CDTF">2016-02-08T23:38:12Z</dcterms:created>
  <dcterms:modified xsi:type="dcterms:W3CDTF">2021-05-28T15:49:01Z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0x0101006E56B4D1795A2E4DB2F0B01679ED314A004ECA645F23003C46B84054C42F9D5FA9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