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defaultThemeVersion="124226"/>
  <xr:revisionPtr revIDLastSave="0" documentId="13_ncr:1_{C27FD73E-AC59-467B-AAE4-7383BB4B7F0A}" xr6:coauthVersionLast="45" xr6:coauthVersionMax="45" xr10:uidLastSave="{00000000-0000-0000-0000-000000000000}"/>
  <bookViews>
    <workbookView xWindow="13035" yWindow="0" windowWidth="14265" windowHeight="14205" firstSheet="10" activeTab="11" xr2:uid="{00000000-000D-0000-FFFF-FFFF00000000}"/>
  </bookViews>
  <sheets>
    <sheet name="Pg 1 Res Nat Gas Deferral" sheetId="26" r:id="rId1"/>
    <sheet name="Pg 2 Non-Res Nat Gas Deferral" sheetId="2" r:id="rId2"/>
    <sheet name="Pg 3 UG-170486 Auth-1" sheetId="1" r:id="rId3"/>
    <sheet name="Pg 4 UG-170486 Auth-2" sheetId="20" r:id="rId4"/>
    <sheet name="Pg 5 UG-170486 Auth-3" sheetId="21" r:id="rId5"/>
    <sheet name="Pg 6 UG-170486 Auth-4" sheetId="22" r:id="rId6"/>
    <sheet name="Pg 7 UG-190335 Auth-1" sheetId="17" r:id="rId7"/>
    <sheet name="Acerno_Cache_XXXXX" sheetId="16" state="veryHidden" r:id="rId8"/>
    <sheet name="Pg 8 UG-190335 Auth-2" sheetId="23" r:id="rId9"/>
    <sheet name="Pg 9 UG-190335 Auth-3" sheetId="24" r:id="rId10"/>
    <sheet name="Pg 10 UG-190335 Auth-4" sheetId="25" r:id="rId11"/>
    <sheet name="Pg 11 Annual Adj (12-2020)" sheetId="19" r:id="rId12"/>
  </sheets>
  <definedNames>
    <definedName name="_xlnm.Print_Area" localSheetId="11">'Pg 11 Annual Adj (12-2020)'!$A$1:$C$30</definedName>
    <definedName name="_xlnm.Print_Area" localSheetId="2">'Pg 3 UG-170486 Auth-1'!$A$1:$K$34</definedName>
    <definedName name="_xlnm.Print_Area" localSheetId="6">'Pg 7 UG-190335 Auth-1'!$A$1:$K$33</definedName>
    <definedName name="_xlnm.Print_Titles" localSheetId="0">'Pg 1 Res Nat Gas Deferral'!$1:$7</definedName>
    <definedName name="_xlnm.Print_Titles" localSheetId="1">'Pg 2 Non-Res Nat Gas Deferral'!$1:$7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2" l="1"/>
  <c r="C13" i="19"/>
  <c r="C33" i="26"/>
  <c r="N30" i="26"/>
  <c r="O30" i="26" s="1"/>
  <c r="L30" i="26"/>
  <c r="I30" i="26"/>
  <c r="H30" i="26"/>
  <c r="E30" i="26"/>
  <c r="F30" i="26" s="1"/>
  <c r="C28" i="26"/>
  <c r="F27" i="26"/>
  <c r="C27" i="26"/>
  <c r="F26" i="26"/>
  <c r="E26" i="26"/>
  <c r="E27" i="26" s="1"/>
  <c r="D26" i="26"/>
  <c r="D27" i="26" s="1"/>
  <c r="C26" i="26"/>
  <c r="O25" i="26"/>
  <c r="N25" i="26"/>
  <c r="M25" i="26"/>
  <c r="L25" i="26"/>
  <c r="K25" i="26"/>
  <c r="J25" i="26"/>
  <c r="I25" i="26"/>
  <c r="H25" i="26"/>
  <c r="G25" i="26"/>
  <c r="Q25" i="26" s="1"/>
  <c r="C25" i="26"/>
  <c r="O24" i="26"/>
  <c r="N24" i="26"/>
  <c r="N26" i="26" s="1"/>
  <c r="N27" i="26" s="1"/>
  <c r="M24" i="26"/>
  <c r="M26" i="26" s="1"/>
  <c r="L24" i="26"/>
  <c r="L26" i="26" s="1"/>
  <c r="L27" i="26" s="1"/>
  <c r="K24" i="26"/>
  <c r="K26" i="26" s="1"/>
  <c r="J24" i="26"/>
  <c r="J26" i="26" s="1"/>
  <c r="J27" i="26" s="1"/>
  <c r="I24" i="26"/>
  <c r="I26" i="26" s="1"/>
  <c r="I27" i="26" s="1"/>
  <c r="H24" i="26"/>
  <c r="G24" i="26"/>
  <c r="C24" i="26"/>
  <c r="O23" i="26"/>
  <c r="N23" i="26"/>
  <c r="M23" i="26"/>
  <c r="L23" i="26"/>
  <c r="K23" i="26"/>
  <c r="J23" i="26"/>
  <c r="I23" i="26"/>
  <c r="H23" i="26"/>
  <c r="G23" i="26"/>
  <c r="Q23" i="26" s="1"/>
  <c r="C23" i="26"/>
  <c r="O20" i="26"/>
  <c r="N20" i="26"/>
  <c r="M20" i="26"/>
  <c r="L20" i="26"/>
  <c r="K20" i="26"/>
  <c r="J20" i="26"/>
  <c r="I20" i="26"/>
  <c r="I21" i="26" s="1"/>
  <c r="H20" i="26"/>
  <c r="G20" i="26"/>
  <c r="F20" i="26"/>
  <c r="F21" i="26" s="1"/>
  <c r="F28" i="26" s="1"/>
  <c r="E20" i="26"/>
  <c r="E21" i="26" s="1"/>
  <c r="D20" i="26"/>
  <c r="D21" i="26" s="1"/>
  <c r="A20" i="26"/>
  <c r="A21" i="26" s="1"/>
  <c r="O19" i="26"/>
  <c r="C12" i="19" s="1"/>
  <c r="N19" i="26"/>
  <c r="N21" i="26" s="1"/>
  <c r="M19" i="26"/>
  <c r="M21" i="26" s="1"/>
  <c r="L19" i="26"/>
  <c r="L21" i="26" s="1"/>
  <c r="K19" i="26"/>
  <c r="K21" i="26" s="1"/>
  <c r="J19" i="26"/>
  <c r="I19" i="26"/>
  <c r="H19" i="26"/>
  <c r="H21" i="26" s="1"/>
  <c r="G19" i="26"/>
  <c r="G21" i="26" s="1"/>
  <c r="C19" i="26"/>
  <c r="E6" i="26"/>
  <c r="F6" i="26" s="1"/>
  <c r="G6" i="26" s="1"/>
  <c r="H6" i="26" s="1"/>
  <c r="I6" i="26" s="1"/>
  <c r="J6" i="26" s="1"/>
  <c r="K6" i="26" s="1"/>
  <c r="L6" i="26" s="1"/>
  <c r="M6" i="26" s="1"/>
  <c r="N6" i="26" s="1"/>
  <c r="O6" i="26" s="1"/>
  <c r="C9" i="19" l="1"/>
  <c r="I28" i="26"/>
  <c r="I29" i="26" s="1"/>
  <c r="O21" i="26"/>
  <c r="K27" i="26"/>
  <c r="J21" i="26"/>
  <c r="J28" i="26" s="1"/>
  <c r="J29" i="26" s="1"/>
  <c r="E28" i="26"/>
  <c r="E29" i="26" s="1"/>
  <c r="M27" i="26"/>
  <c r="C6" i="19"/>
  <c r="C7" i="19"/>
  <c r="L28" i="26"/>
  <c r="L29" i="26" s="1"/>
  <c r="G26" i="26"/>
  <c r="G27" i="26" s="1"/>
  <c r="O26" i="26"/>
  <c r="O27" i="26" s="1"/>
  <c r="N28" i="26"/>
  <c r="Q20" i="26"/>
  <c r="C21" i="26"/>
  <c r="H26" i="26"/>
  <c r="H27" i="26" s="1"/>
  <c r="D28" i="26"/>
  <c r="F29" i="26"/>
  <c r="N29" i="26"/>
  <c r="M28" i="26"/>
  <c r="G28" i="26"/>
  <c r="K28" i="26"/>
  <c r="Q19" i="26"/>
  <c r="Q24" i="26"/>
  <c r="B28" i="24"/>
  <c r="B27" i="24"/>
  <c r="P15" i="24"/>
  <c r="K16" i="24" s="1"/>
  <c r="P11" i="24"/>
  <c r="A9" i="24"/>
  <c r="A10" i="24" s="1"/>
  <c r="A11" i="24" s="1"/>
  <c r="A12" i="24" s="1"/>
  <c r="A13" i="24" s="1"/>
  <c r="A14" i="24" s="1"/>
  <c r="A15" i="24" s="1"/>
  <c r="A16" i="24" s="1"/>
  <c r="A17" i="24" s="1"/>
  <c r="A18" i="24" s="1"/>
  <c r="A19" i="24" s="1"/>
  <c r="A20" i="24" s="1"/>
  <c r="A4" i="24"/>
  <c r="A2" i="24"/>
  <c r="C13" i="23"/>
  <c r="A4" i="23"/>
  <c r="E22" i="25"/>
  <c r="E20" i="25"/>
  <c r="A6" i="25"/>
  <c r="B28" i="21"/>
  <c r="B27" i="21"/>
  <c r="P15" i="21"/>
  <c r="O16" i="21" s="1"/>
  <c r="A9" i="21"/>
  <c r="A10" i="21" s="1"/>
  <c r="A11" i="21" s="1"/>
  <c r="A12" i="21" s="1"/>
  <c r="A13" i="21" s="1"/>
  <c r="A14" i="21" s="1"/>
  <c r="A15" i="21" s="1"/>
  <c r="A16" i="21" s="1"/>
  <c r="A17" i="21" s="1"/>
  <c r="A18" i="21" s="1"/>
  <c r="A19" i="21" s="1"/>
  <c r="A20" i="21" s="1"/>
  <c r="A4" i="21"/>
  <c r="A2" i="21"/>
  <c r="C13" i="20"/>
  <c r="A4" i="20"/>
  <c r="E22" i="22"/>
  <c r="E24" i="22" s="1"/>
  <c r="E20" i="22"/>
  <c r="A6" i="22"/>
  <c r="Q26" i="26" l="1"/>
  <c r="H28" i="26"/>
  <c r="H29" i="26" s="1"/>
  <c r="K29" i="26"/>
  <c r="D29" i="26"/>
  <c r="M29" i="26"/>
  <c r="G29" i="26"/>
  <c r="J16" i="24"/>
  <c r="F16" i="24"/>
  <c r="N16" i="24"/>
  <c r="I16" i="24"/>
  <c r="N12" i="24"/>
  <c r="H12" i="24"/>
  <c r="J12" i="24"/>
  <c r="E12" i="24"/>
  <c r="M12" i="24"/>
  <c r="K12" i="24"/>
  <c r="C21" i="24"/>
  <c r="A21" i="24"/>
  <c r="A22" i="24" s="1"/>
  <c r="A23" i="24" s="1"/>
  <c r="A24" i="24" s="1"/>
  <c r="G12" i="24"/>
  <c r="O12" i="24"/>
  <c r="I12" i="24"/>
  <c r="D12" i="24"/>
  <c r="L12" i="24"/>
  <c r="L16" i="24"/>
  <c r="D16" i="24"/>
  <c r="E16" i="24"/>
  <c r="M16" i="24"/>
  <c r="O16" i="24"/>
  <c r="G16" i="24"/>
  <c r="F12" i="24"/>
  <c r="H16" i="24"/>
  <c r="E24" i="25"/>
  <c r="E26" i="25" s="1"/>
  <c r="E16" i="21"/>
  <c r="F16" i="21"/>
  <c r="H16" i="21"/>
  <c r="I16" i="21"/>
  <c r="M16" i="21"/>
  <c r="N16" i="21"/>
  <c r="C21" i="21"/>
  <c r="A21" i="21"/>
  <c r="A22" i="21" s="1"/>
  <c r="A23" i="21" s="1"/>
  <c r="A24" i="21" s="1"/>
  <c r="F12" i="21"/>
  <c r="G12" i="21"/>
  <c r="K16" i="21"/>
  <c r="P11" i="21"/>
  <c r="L12" i="21" s="1"/>
  <c r="D16" i="21"/>
  <c r="L16" i="21"/>
  <c r="J16" i="21"/>
  <c r="G16" i="21"/>
  <c r="E26" i="22"/>
  <c r="D31" i="26" l="1"/>
  <c r="C25" i="24"/>
  <c r="A25" i="24"/>
  <c r="A26" i="24" s="1"/>
  <c r="A27" i="24" s="1"/>
  <c r="A28" i="24" s="1"/>
  <c r="P12" i="24"/>
  <c r="P16" i="24"/>
  <c r="D12" i="21"/>
  <c r="N12" i="21"/>
  <c r="A25" i="21"/>
  <c r="A26" i="21" s="1"/>
  <c r="A27" i="21" s="1"/>
  <c r="A28" i="21" s="1"/>
  <c r="C25" i="21"/>
  <c r="P16" i="21"/>
  <c r="M12" i="21"/>
  <c r="E12" i="21"/>
  <c r="J12" i="21"/>
  <c r="I12" i="21"/>
  <c r="H12" i="21"/>
  <c r="K12" i="21"/>
  <c r="O12" i="21"/>
  <c r="D33" i="26" l="1"/>
  <c r="D32" i="26"/>
  <c r="P12" i="21"/>
  <c r="E31" i="26" l="1"/>
  <c r="E32" i="26" l="1"/>
  <c r="E33" i="26"/>
  <c r="F31" i="26" l="1"/>
  <c r="F33" i="26"/>
  <c r="C27" i="2"/>
  <c r="C26" i="2"/>
  <c r="C25" i="2"/>
  <c r="C24" i="2"/>
  <c r="C23" i="2"/>
  <c r="C22" i="2"/>
  <c r="C20" i="2"/>
  <c r="C18" i="2"/>
  <c r="G31" i="26" l="1"/>
  <c r="G32" i="26" s="1"/>
  <c r="G33" i="26"/>
  <c r="F32" i="26"/>
  <c r="H31" i="26" l="1"/>
  <c r="H33" i="26"/>
  <c r="I31" i="26" l="1"/>
  <c r="I32" i="26" s="1"/>
  <c r="H32" i="26"/>
  <c r="O24" i="2"/>
  <c r="O23" i="2"/>
  <c r="O22" i="2"/>
  <c r="O18" i="2"/>
  <c r="N24" i="2"/>
  <c r="N23" i="2"/>
  <c r="N22" i="2"/>
  <c r="N18" i="2"/>
  <c r="M24" i="2"/>
  <c r="M23" i="2"/>
  <c r="M22" i="2"/>
  <c r="M18" i="2"/>
  <c r="L24" i="2"/>
  <c r="L23" i="2"/>
  <c r="L22" i="2"/>
  <c r="L18" i="2"/>
  <c r="K24" i="2"/>
  <c r="K23" i="2"/>
  <c r="K22" i="2"/>
  <c r="K18" i="2"/>
  <c r="J24" i="2"/>
  <c r="J23" i="2"/>
  <c r="J22" i="2"/>
  <c r="J18" i="2"/>
  <c r="I24" i="2"/>
  <c r="I23" i="2"/>
  <c r="I22" i="2"/>
  <c r="I18" i="2"/>
  <c r="H24" i="2"/>
  <c r="H23" i="2"/>
  <c r="H22" i="2"/>
  <c r="H18" i="2"/>
  <c r="G23" i="2"/>
  <c r="G22" i="2"/>
  <c r="G18" i="2"/>
  <c r="I33" i="26" l="1"/>
  <c r="C19" i="19"/>
  <c r="C25" i="19"/>
  <c r="G24" i="2"/>
  <c r="G19" i="17"/>
  <c r="G20" i="17" s="1"/>
  <c r="E19" i="17"/>
  <c r="G10" i="17"/>
  <c r="I9" i="17"/>
  <c r="H9" i="17"/>
  <c r="G9" i="17"/>
  <c r="E9" i="17"/>
  <c r="J31" i="26" l="1"/>
  <c r="J33" i="26" s="1"/>
  <c r="J32" i="26" l="1"/>
  <c r="K31" i="26"/>
  <c r="K32" i="26" s="1"/>
  <c r="E29" i="17"/>
  <c r="D29" i="17"/>
  <c r="D27" i="17"/>
  <c r="E26" i="17"/>
  <c r="E11" i="23" s="1"/>
  <c r="D26" i="17"/>
  <c r="D11" i="23" s="1"/>
  <c r="F21" i="17"/>
  <c r="E21" i="17"/>
  <c r="D21" i="17"/>
  <c r="D28" i="17" s="1"/>
  <c r="D24" i="23" s="1"/>
  <c r="I19" i="17"/>
  <c r="H19" i="17"/>
  <c r="E15" i="17"/>
  <c r="D15" i="17"/>
  <c r="D25" i="23" s="1"/>
  <c r="K14" i="17"/>
  <c r="K15" i="17" s="1"/>
  <c r="G15" i="17"/>
  <c r="E27" i="17"/>
  <c r="C13" i="17"/>
  <c r="K11" i="17"/>
  <c r="I11" i="17"/>
  <c r="H11" i="17"/>
  <c r="E11" i="17"/>
  <c r="D11" i="17"/>
  <c r="C10" i="17"/>
  <c r="G11" i="17"/>
  <c r="F11" i="17"/>
  <c r="C9" i="17"/>
  <c r="K33" i="26" l="1"/>
  <c r="C19" i="17"/>
  <c r="E17" i="17"/>
  <c r="E23" i="17"/>
  <c r="D17" i="17"/>
  <c r="D23" i="17" s="1"/>
  <c r="D9" i="23" s="1"/>
  <c r="D13" i="23" s="1"/>
  <c r="K17" i="17"/>
  <c r="C11" i="17"/>
  <c r="G17" i="17"/>
  <c r="K20" i="17"/>
  <c r="K21" i="17" s="1"/>
  <c r="G21" i="17"/>
  <c r="E28" i="17" s="1"/>
  <c r="E24" i="23" s="1"/>
  <c r="F15" i="17"/>
  <c r="C15" i="17" s="1"/>
  <c r="D30" i="17"/>
  <c r="L31" i="26" l="1"/>
  <c r="L32" i="26" s="1"/>
  <c r="E37" i="17"/>
  <c r="E38" i="17" s="1"/>
  <c r="D23" i="23"/>
  <c r="D26" i="23" s="1"/>
  <c r="P20" i="24"/>
  <c r="E25" i="23"/>
  <c r="K23" i="17"/>
  <c r="C21" i="17"/>
  <c r="G23" i="17"/>
  <c r="D37" i="17"/>
  <c r="D38" i="17" s="1"/>
  <c r="E30" i="17"/>
  <c r="F17" i="17"/>
  <c r="L33" i="26" l="1"/>
  <c r="H21" i="24"/>
  <c r="L21" i="24"/>
  <c r="D21" i="24"/>
  <c r="G21" i="24"/>
  <c r="K21" i="24"/>
  <c r="N21" i="24"/>
  <c r="O21" i="24"/>
  <c r="F21" i="24"/>
  <c r="M21" i="24"/>
  <c r="E21" i="24"/>
  <c r="I21" i="24"/>
  <c r="J21" i="24"/>
  <c r="F23" i="17"/>
  <c r="E9" i="23" s="1"/>
  <c r="E13" i="23" s="1"/>
  <c r="C17" i="17"/>
  <c r="M31" i="26" l="1"/>
  <c r="M32" i="26" s="1"/>
  <c r="E23" i="23"/>
  <c r="E26" i="23" s="1"/>
  <c r="P24" i="24"/>
  <c r="P21" i="24"/>
  <c r="F37" i="17"/>
  <c r="F38" i="17" s="1"/>
  <c r="C23" i="17"/>
  <c r="M33" i="26" l="1"/>
  <c r="K25" i="24"/>
  <c r="J25" i="24"/>
  <c r="N25" i="24"/>
  <c r="I25" i="24"/>
  <c r="D25" i="24"/>
  <c r="F25" i="24"/>
  <c r="E25" i="24"/>
  <c r="H25" i="24"/>
  <c r="O25" i="24"/>
  <c r="M25" i="24"/>
  <c r="G25" i="24"/>
  <c r="L25" i="24"/>
  <c r="E6" i="2"/>
  <c r="N31" i="26" l="1"/>
  <c r="N32" i="26" s="1"/>
  <c r="N33" i="26"/>
  <c r="P25" i="24"/>
  <c r="F6" i="2"/>
  <c r="Q24" i="2"/>
  <c r="G6" i="2" l="1"/>
  <c r="Q18" i="2"/>
  <c r="Q22" i="2"/>
  <c r="H6" i="2" l="1"/>
  <c r="I6" i="2" s="1"/>
  <c r="H25" i="2" l="1"/>
  <c r="L25" i="2"/>
  <c r="E25" i="2"/>
  <c r="I25" i="2"/>
  <c r="M25" i="2"/>
  <c r="F25" i="2"/>
  <c r="J25" i="2"/>
  <c r="N25" i="2"/>
  <c r="G25" i="2"/>
  <c r="K25" i="2"/>
  <c r="O25" i="2"/>
  <c r="J6" i="2"/>
  <c r="K26" i="2" l="1"/>
  <c r="F26" i="2"/>
  <c r="L26" i="2"/>
  <c r="G26" i="2"/>
  <c r="M26" i="2"/>
  <c r="H26" i="2"/>
  <c r="D25" i="2"/>
  <c r="Q23" i="2"/>
  <c r="N26" i="2"/>
  <c r="I26" i="2"/>
  <c r="O26" i="2"/>
  <c r="J26" i="2"/>
  <c r="E26" i="2"/>
  <c r="K6" i="2"/>
  <c r="Q25" i="2" l="1"/>
  <c r="D26" i="2"/>
  <c r="L6" i="2"/>
  <c r="M6" i="2" l="1"/>
  <c r="N6" i="2" l="1"/>
  <c r="O6" i="2" l="1"/>
  <c r="K14" i="1" l="1"/>
  <c r="K15" i="1" s="1"/>
  <c r="K11" i="1"/>
  <c r="D29" i="1"/>
  <c r="D27" i="1"/>
  <c r="D26" i="1"/>
  <c r="D11" i="20" s="1"/>
  <c r="E21" i="1"/>
  <c r="D21" i="1"/>
  <c r="D28" i="1" s="1"/>
  <c r="D24" i="20" s="1"/>
  <c r="I19" i="1"/>
  <c r="H19" i="1"/>
  <c r="G19" i="1"/>
  <c r="G20" i="1" s="1"/>
  <c r="F19" i="1"/>
  <c r="E15" i="1"/>
  <c r="D15" i="1"/>
  <c r="D25" i="20" s="1"/>
  <c r="I13" i="1"/>
  <c r="H13" i="1"/>
  <c r="G13" i="1"/>
  <c r="G15" i="1" s="1"/>
  <c r="F13" i="1"/>
  <c r="E27" i="1" s="1"/>
  <c r="E11" i="1"/>
  <c r="D11" i="1"/>
  <c r="H10" i="1"/>
  <c r="G10" i="1"/>
  <c r="C10" i="1" s="1"/>
  <c r="I9" i="1"/>
  <c r="I11" i="1" s="1"/>
  <c r="H9" i="1"/>
  <c r="G9" i="1"/>
  <c r="F9" i="1"/>
  <c r="C9" i="1" l="1"/>
  <c r="D30" i="1"/>
  <c r="C13" i="1"/>
  <c r="D17" i="1"/>
  <c r="D23" i="1" s="1"/>
  <c r="D9" i="20" s="1"/>
  <c r="D13" i="20" s="1"/>
  <c r="E17" i="1"/>
  <c r="E23" i="1" s="1"/>
  <c r="F11" i="1"/>
  <c r="F15" i="1"/>
  <c r="E25" i="20" s="1"/>
  <c r="K17" i="1"/>
  <c r="G21" i="1"/>
  <c r="K20" i="1"/>
  <c r="K21" i="1" s="1"/>
  <c r="C19" i="1"/>
  <c r="G11" i="1"/>
  <c r="G17" i="1" s="1"/>
  <c r="H11" i="1"/>
  <c r="E29" i="1"/>
  <c r="F21" i="1"/>
  <c r="E26" i="1"/>
  <c r="E11" i="20" s="1"/>
  <c r="D23" i="20" l="1"/>
  <c r="D26" i="20" s="1"/>
  <c r="P20" i="21"/>
  <c r="E37" i="1"/>
  <c r="E38" i="1" s="1"/>
  <c r="C15" i="1"/>
  <c r="C11" i="1"/>
  <c r="G23" i="1"/>
  <c r="K23" i="1"/>
  <c r="F17" i="1"/>
  <c r="C17" i="1" s="1"/>
  <c r="D37" i="1"/>
  <c r="D38" i="1" s="1"/>
  <c r="C21" i="1"/>
  <c r="E28" i="1"/>
  <c r="E24" i="20" s="1"/>
  <c r="L21" i="21" l="1"/>
  <c r="M21" i="21"/>
  <c r="E21" i="21"/>
  <c r="H21" i="21"/>
  <c r="K21" i="21"/>
  <c r="J21" i="21"/>
  <c r="D21" i="21"/>
  <c r="O21" i="21"/>
  <c r="I21" i="21"/>
  <c r="G21" i="21"/>
  <c r="N21" i="21"/>
  <c r="F21" i="21"/>
  <c r="F23" i="1"/>
  <c r="E9" i="20" s="1"/>
  <c r="E13" i="20" s="1"/>
  <c r="E30" i="1"/>
  <c r="E23" i="20" l="1"/>
  <c r="E26" i="20" s="1"/>
  <c r="P24" i="21"/>
  <c r="P21" i="21"/>
  <c r="F37" i="1"/>
  <c r="F38" i="1" s="1"/>
  <c r="C23" i="1"/>
  <c r="G19" i="2"/>
  <c r="L25" i="21" l="1"/>
  <c r="F25" i="21"/>
  <c r="O25" i="21"/>
  <c r="N25" i="21"/>
  <c r="J25" i="21"/>
  <c r="G25" i="21"/>
  <c r="E25" i="21"/>
  <c r="H25" i="21"/>
  <c r="K25" i="21"/>
  <c r="I25" i="21"/>
  <c r="D25" i="21"/>
  <c r="M25" i="21"/>
  <c r="G20" i="2"/>
  <c r="K19" i="2"/>
  <c r="K20" i="2" s="1"/>
  <c r="K27" i="2" s="1"/>
  <c r="I19" i="2"/>
  <c r="I20" i="2" s="1"/>
  <c r="I27" i="2" s="1"/>
  <c r="L19" i="2"/>
  <c r="L20" i="2" s="1"/>
  <c r="L27" i="2" s="1"/>
  <c r="O19" i="2"/>
  <c r="O20" i="2" s="1"/>
  <c r="N19" i="2"/>
  <c r="N20" i="2" s="1"/>
  <c r="N27" i="2" s="1"/>
  <c r="H19" i="2"/>
  <c r="H20" i="2" s="1"/>
  <c r="H27" i="2" s="1"/>
  <c r="M19" i="2"/>
  <c r="M20" i="2" s="1"/>
  <c r="M27" i="2" s="1"/>
  <c r="J19" i="2"/>
  <c r="J20" i="2" s="1"/>
  <c r="J27" i="2" s="1"/>
  <c r="P25" i="21" l="1"/>
  <c r="C22" i="19"/>
  <c r="C8" i="19"/>
  <c r="C26" i="19"/>
  <c r="C27" i="19" s="1"/>
  <c r="C14" i="19"/>
  <c r="C20" i="19"/>
  <c r="C21" i="19" s="1"/>
  <c r="E19" i="2"/>
  <c r="E20" i="2" s="1"/>
  <c r="E27" i="2" s="1"/>
  <c r="F19" i="2"/>
  <c r="F20" i="2" s="1"/>
  <c r="F27" i="2" s="1"/>
  <c r="L28" i="2"/>
  <c r="G27" i="2"/>
  <c r="I28" i="2"/>
  <c r="M28" i="2"/>
  <c r="K28" i="2"/>
  <c r="J28" i="2"/>
  <c r="H28" i="2"/>
  <c r="N28" i="2"/>
  <c r="C10" i="19" l="1"/>
  <c r="C16" i="19" s="1"/>
  <c r="C23" i="19"/>
  <c r="C29" i="19" s="1"/>
  <c r="D19" i="2"/>
  <c r="E28" i="2"/>
  <c r="F28" i="2"/>
  <c r="G28" i="2"/>
  <c r="O27" i="2" l="1"/>
  <c r="O28" i="2" s="1"/>
  <c r="D20" i="2"/>
  <c r="Q19" i="2"/>
  <c r="Q21" i="26" l="1"/>
  <c r="O28" i="26"/>
  <c r="D27" i="2"/>
  <c r="Q20" i="2"/>
  <c r="O29" i="26" l="1"/>
  <c r="Q29" i="26" s="1"/>
  <c r="Q28" i="26"/>
  <c r="D28" i="2"/>
  <c r="Q28" i="2" s="1"/>
  <c r="Q27" i="2"/>
  <c r="O31" i="26" l="1"/>
  <c r="Q31" i="26" s="1"/>
  <c r="D30" i="2"/>
  <c r="D31" i="2" s="1"/>
  <c r="O32" i="26" l="1"/>
  <c r="Q32" i="26" s="1"/>
  <c r="O33" i="26"/>
  <c r="D32" i="2"/>
  <c r="D34" i="2" s="1"/>
  <c r="E30" i="2" l="1"/>
  <c r="E32" i="2" s="1"/>
  <c r="E34" i="2" s="1"/>
  <c r="E31" i="2" l="1"/>
  <c r="F30" i="2"/>
  <c r="F32" i="2" s="1"/>
  <c r="F34" i="2" s="1"/>
  <c r="G30" i="2" l="1"/>
  <c r="F31" i="2"/>
  <c r="G32" i="2" l="1"/>
  <c r="G34" i="2" s="1"/>
  <c r="G31" i="2"/>
  <c r="H30" i="2" l="1"/>
  <c r="H32" i="2" l="1"/>
  <c r="H34" i="2" s="1"/>
  <c r="H31" i="2"/>
  <c r="I30" i="2" l="1"/>
  <c r="I32" i="2" s="1"/>
  <c r="I34" i="2" s="1"/>
  <c r="J30" i="2" l="1"/>
  <c r="I31" i="2"/>
  <c r="J32" i="2" l="1"/>
  <c r="J34" i="2" s="1"/>
  <c r="J31" i="2"/>
  <c r="K30" i="2" l="1"/>
  <c r="K32" i="2" l="1"/>
  <c r="K34" i="2" s="1"/>
  <c r="K31" i="2"/>
  <c r="L30" i="2" l="1"/>
  <c r="L32" i="2" s="1"/>
  <c r="L34" i="2" s="1"/>
  <c r="M30" i="2" l="1"/>
  <c r="L31" i="2"/>
  <c r="M32" i="2" l="1"/>
  <c r="M34" i="2" s="1"/>
  <c r="M31" i="2"/>
  <c r="N30" i="2" l="1"/>
  <c r="N32" i="2" s="1"/>
  <c r="N34" i="2" s="1"/>
  <c r="O30" i="2" l="1"/>
  <c r="O32" i="2" s="1"/>
  <c r="O34" i="2" s="1"/>
  <c r="N31" i="2"/>
  <c r="Q30" i="2" l="1"/>
  <c r="O31" i="2"/>
  <c r="Q31" i="2" s="1"/>
</calcChain>
</file>

<file path=xl/sharedStrings.xml><?xml version="1.0" encoding="utf-8"?>
<sst xmlns="http://schemas.openxmlformats.org/spreadsheetml/2006/main" count="416" uniqueCount="188">
  <si>
    <t>Avista Utilities</t>
  </si>
  <si>
    <t>Natural Gas Decoupling Mechanism</t>
  </si>
  <si>
    <t>Development of Decoupled Revenue by Rate Schedule - Natural Gas</t>
  </si>
  <si>
    <t>Washington Docket No. UG-170486 Compliance Filing</t>
  </si>
  <si>
    <t xml:space="preserve"> </t>
  </si>
  <si>
    <t>RESIDENTIAL</t>
  </si>
  <si>
    <t xml:space="preserve">GENERAL SVC. </t>
  </si>
  <si>
    <t>LG. GEN. SVC.</t>
  </si>
  <si>
    <t>INTERRUPTIBLE</t>
  </si>
  <si>
    <t>SCHEDULES</t>
  </si>
  <si>
    <t>TOTAL</t>
  </si>
  <si>
    <t>SCHEDULE 101/102</t>
  </si>
  <si>
    <t>SCH. 111/112/116</t>
  </si>
  <si>
    <t>SCH. 121/122/126</t>
  </si>
  <si>
    <t>SCH 131</t>
  </si>
  <si>
    <t>146 &amp; 148</t>
  </si>
  <si>
    <t>Total Normalized 12 ME Dec 2016 Revenue</t>
  </si>
  <si>
    <t>Allowed Revenue Decrease (Attachment 2)</t>
  </si>
  <si>
    <t>Allowed Base Rate Revenue</t>
  </si>
  <si>
    <t>Normalized Therms (12ME Dec 2016 Test Year)</t>
  </si>
  <si>
    <t>Schedule 150 PGA Rates excluded from base rates</t>
  </si>
  <si>
    <t>Variable Gas Supply Revenue</t>
  </si>
  <si>
    <t>Delivery Revenue  (Ln 3 - Ln 6)</t>
  </si>
  <si>
    <t>Customer Bills (12ME Dec 2016 Test Year)</t>
  </si>
  <si>
    <t xml:space="preserve"> Allowed Basic / Minimum Charges</t>
  </si>
  <si>
    <t>Basic Charge Revenue (Ln 8 * Ln 9)</t>
  </si>
  <si>
    <t>Excluded From Decoupling</t>
  </si>
  <si>
    <t>Decoupled Revenue</t>
  </si>
  <si>
    <t>Residential</t>
  </si>
  <si>
    <t>Non-Residential Group</t>
  </si>
  <si>
    <t>Average Number of Customers (Line 8 / 12)</t>
  </si>
  <si>
    <t>Annual Therms</t>
  </si>
  <si>
    <t>Basic Charge Revenues</t>
  </si>
  <si>
    <t>Customer Bills</t>
  </si>
  <si>
    <t>Average Basic Charge</t>
  </si>
  <si>
    <t>Attachment 5, Page 1</t>
  </si>
  <si>
    <t>check calculations - DO NOT PRINT</t>
  </si>
  <si>
    <t>avg decoupled rev/th</t>
  </si>
  <si>
    <t>check to avg rates</t>
  </si>
  <si>
    <t>Development of Decoupled Revenue Per Customer - Natural Gas</t>
  </si>
  <si>
    <t>Line No.</t>
  </si>
  <si>
    <t>Source</t>
  </si>
  <si>
    <t>Residential Schedules*</t>
  </si>
  <si>
    <t>Non-Residential Schedules**</t>
  </si>
  <si>
    <t>(a)</t>
  </si>
  <si>
    <t>(b)</t>
  </si>
  <si>
    <t>(c)</t>
  </si>
  <si>
    <t>(d)</t>
  </si>
  <si>
    <t>Decoupled Revenues</t>
  </si>
  <si>
    <t>Test Year # of Customers 12 ME12.2016</t>
  </si>
  <si>
    <t>Revenue Data</t>
  </si>
  <si>
    <t>Decoupled Revenue Per Customer</t>
  </si>
  <si>
    <t xml:space="preserve">*Rate Schedules 101, 102.  </t>
  </si>
  <si>
    <t xml:space="preserve">**Rate Schedules 111, 112, 116, 121, 122, 126, 131.  </t>
  </si>
  <si>
    <t>Revenues</t>
  </si>
  <si>
    <t>From Revenue Per Customer</t>
  </si>
  <si>
    <t>From Basic Charges</t>
  </si>
  <si>
    <t>From Gas Supply</t>
  </si>
  <si>
    <t>Total</t>
  </si>
  <si>
    <t>Schedule</t>
  </si>
  <si>
    <t>'Development of Monthly Decoupled Revenue Per Customer - Natural Gas</t>
  </si>
  <si>
    <t>Jan</t>
  </si>
  <si>
    <t>Feb</t>
  </si>
  <si>
    <t>Mar</t>
  </si>
  <si>
    <t>Apr</t>
  </si>
  <si>
    <t>May</t>
  </si>
  <si>
    <t>Jun</t>
  </si>
  <si>
    <t>Jul</t>
  </si>
  <si>
    <t>Aug</t>
  </si>
  <si>
    <t>Sep</t>
  </si>
  <si>
    <t>Oct</t>
  </si>
  <si>
    <t>Nov</t>
  </si>
  <si>
    <t>Dec</t>
  </si>
  <si>
    <t>(e)</t>
  </si>
  <si>
    <t>(f)</t>
  </si>
  <si>
    <t>(g)</t>
  </si>
  <si>
    <t>(h)</t>
  </si>
  <si>
    <t>(i)</t>
  </si>
  <si>
    <t>(j)</t>
  </si>
  <si>
    <t>(k)</t>
  </si>
  <si>
    <t>(l)</t>
  </si>
  <si>
    <t>(m)</t>
  </si>
  <si>
    <t>(n)</t>
  </si>
  <si>
    <t>(o)</t>
  </si>
  <si>
    <t>Natural Gas Delivery Volume</t>
  </si>
  <si>
    <t>Residential*</t>
  </si>
  <si>
    <t xml:space="preserve"> - Weather-Normalized Therm Delivery Volume</t>
  </si>
  <si>
    <t>Monthly Rate Year</t>
  </si>
  <si>
    <t xml:space="preserve">  - % of Annual Total</t>
  </si>
  <si>
    <t>% of Total</t>
  </si>
  <si>
    <t>Non-Residential**</t>
  </si>
  <si>
    <t>Monthly Decoupled Revenue Per Customer ("RPC")</t>
  </si>
  <si>
    <t xml:space="preserve">  -UG-150205 Decoupled RPC</t>
  </si>
  <si>
    <t>Attachment 5, P. 2 L. 3</t>
  </si>
  <si>
    <t xml:space="preserve">  -Monthly Decoupled RPC</t>
  </si>
  <si>
    <t>Attachment 5, Page 3</t>
  </si>
  <si>
    <t>AVISTA UTILITIES</t>
  </si>
  <si>
    <t>REVENUE CONVERSION FACTOR</t>
  </si>
  <si>
    <t>WASHINGTON NATURAL GAS</t>
  </si>
  <si>
    <t>TWELVE MONTHS ENDED DECEMBER 31, 2016</t>
  </si>
  <si>
    <t>With Tax Reform</t>
  </si>
  <si>
    <t xml:space="preserve">Line </t>
  </si>
  <si>
    <t>No.</t>
  </si>
  <si>
    <t>Description</t>
  </si>
  <si>
    <t>Factor</t>
  </si>
  <si>
    <t>Expense:</t>
  </si>
  <si>
    <t xml:space="preserve">  Uncollectibles  </t>
  </si>
  <si>
    <t xml:space="preserve">  Commission Fees </t>
  </si>
  <si>
    <t xml:space="preserve">  Washington Excise Tax  </t>
  </si>
  <si>
    <t xml:space="preserve">    Total Expense</t>
  </si>
  <si>
    <t>Net Operating Income Before FIT</t>
  </si>
  <si>
    <t xml:space="preserve">  Federal Income Tax @ 21%</t>
  </si>
  <si>
    <t>(Per Order No. 6; UE-120437, dated 6/20/2012 - "hard" CF rounded to 6 digits)</t>
  </si>
  <si>
    <t>Revised Conversion Factor per Bench Request 9, Attachment B Page 4</t>
  </si>
  <si>
    <t>Residential Group</t>
  </si>
  <si>
    <t>Actual Customers</t>
  </si>
  <si>
    <t>Revenue System</t>
  </si>
  <si>
    <t>Monthly Decoupled Revenue per Customer</t>
  </si>
  <si>
    <t>Actual Fixed Charge Revenue</t>
  </si>
  <si>
    <t>Customer Decoupled Payments</t>
  </si>
  <si>
    <t>Residential Revenue Per Customer Received</t>
  </si>
  <si>
    <t>Deferral - Surcharge (Rebate)</t>
  </si>
  <si>
    <t>Deferral - Revenue Related Expenses</t>
  </si>
  <si>
    <t>Rev Conv Factor</t>
  </si>
  <si>
    <t>FERC Rate</t>
  </si>
  <si>
    <t>Interest on Deferral</t>
  </si>
  <si>
    <t>Avg Balance Calc</t>
  </si>
  <si>
    <t>Monthly Residential Deferral Totals</t>
  </si>
  <si>
    <t>Cumulative Deferral (Rebate) Balance</t>
  </si>
  <si>
    <t>Non-Residential Revenue Per Customer Received</t>
  </si>
  <si>
    <t>Monthly Non-Residential Deferral Totals</t>
  </si>
  <si>
    <t>Total Cumulative Deferral (Rebate)</t>
  </si>
  <si>
    <t>Non-Residential</t>
  </si>
  <si>
    <t>Development of WA Natural Gas Deferrals (Calendar Year 2020)</t>
  </si>
  <si>
    <t>Total Normalized 12 ME Dec 2018 Revenue</t>
  </si>
  <si>
    <t>Normalized Therms (12ME Dec 2018 Test Year)</t>
  </si>
  <si>
    <t>Customer Bills (12ME Dec 2018 Test Year)</t>
  </si>
  <si>
    <t>TWELVE MONTHS ENDED DECEMBER 31, 2018</t>
  </si>
  <si>
    <t>Actual Base Rate Revenue</t>
  </si>
  <si>
    <t>New Customers</t>
  </si>
  <si>
    <t>New Customer Base Rate Revenue</t>
  </si>
  <si>
    <t>Actual Usage ("Therms)</t>
  </si>
  <si>
    <t>New Customer Fixed Charge Revenue</t>
  </si>
  <si>
    <t>Decoupling Mechanism - UG-170486 Base effective 5/1/2018, 
UG-190335 Base effective 4/1/2020</t>
  </si>
  <si>
    <t>New Customer Usage (Therms)</t>
  </si>
  <si>
    <t>Actual/Test Year Existing Customers</t>
  </si>
  <si>
    <t>Actual Usage /Test Year Existing</t>
  </si>
  <si>
    <t>Actual Base Rate Revenue / Test Year Existing</t>
  </si>
  <si>
    <t>Actual Fixed Charge Revenue / Test Year Existing</t>
  </si>
  <si>
    <t>Attachment 4, Page 3</t>
  </si>
  <si>
    <t>Test Year Existing Customers</t>
  </si>
  <si>
    <t>Actual Usage (Therms) /Test Year Existing</t>
  </si>
  <si>
    <t>Attachment 4, Page 1</t>
  </si>
  <si>
    <t>Test Year # of Customers 12 ME12.2018</t>
  </si>
  <si>
    <t>Washington Docket No. UG-190335  2018 Compliance Filing</t>
  </si>
  <si>
    <t xml:space="preserve">  -UG-190335Decoupled RPC</t>
  </si>
  <si>
    <t xml:space="preserve">  -UG-190335 Decoupled RPC</t>
  </si>
  <si>
    <t xml:space="preserve">**Rate Schedules 111, 112, 116, 131.  </t>
  </si>
  <si>
    <t>Purpose:</t>
  </si>
  <si>
    <t>Procedure:</t>
  </si>
  <si>
    <t>Less April - November Decoupled Revenue (sum of line 11 in Deferral Calc for April-Nov 2020)</t>
  </si>
  <si>
    <t>Decoupled Revenue to record for December to reflect true-up</t>
  </si>
  <si>
    <t>December Decoupled Revenue per Customer (line 10, column n in Deferral Calc)</t>
  </si>
  <si>
    <t>Net increase/(decrease) to Decoupled Revenue due to Average Calculation</t>
  </si>
  <si>
    <t>Less April - November Decoupled Revenue (sum of line 35 in Deferral Calc for April-Nov 2020)</t>
  </si>
  <si>
    <t>December Decoupled Revenue per Customer (line 34, column n in Deferral Calc)</t>
  </si>
  <si>
    <t>As required by UG-190335 (UE-190222, consolidated) paragraph 111, the Company is required to calculate decoupled revenue using YTD average customers, compare to what was recorded using monthly customer counts, and record the difference so that the annual decoupled revenue is based on YTD average customers.</t>
  </si>
  <si>
    <t>Attachment 5, Page 4 (UG-170486 Compliance Filing)</t>
  </si>
  <si>
    <t>Attachment 5, Page 2 (UG-170486 Compliance Filing)</t>
  </si>
  <si>
    <t>Attachment 5, Page 1 (UG-170486 Compliance Filing)</t>
  </si>
  <si>
    <t>Attachment 4, Page 1 (UG-190334 Compliance Filing)</t>
  </si>
  <si>
    <t>Attachment 4, Page 2 (UG-190334 Compliance Filing)</t>
  </si>
  <si>
    <t>Attachment 4, Page 3 (UG-190334 Compliance Filing)</t>
  </si>
  <si>
    <t>Attachment 4, Page 4 (UG-190334 Compliance Filing)</t>
  </si>
  <si>
    <t>* As approved in Docket No. UG-190335, the Company is required to calculate decoupled revenue using YTD average customers, compare to what was recorded using monthly customer counts, and record the difference in December so that the annual decoupled revenue is based on YTD average customers. This amount includes that annual true-up that resulted in a decrease to decoupled revenue of $19,742.07.</t>
  </si>
  <si>
    <t>*</t>
  </si>
  <si>
    <t>**</t>
  </si>
  <si>
    <t>** As approved in Docket No. UG-190335, the Company is required to calculate decoupled revenue using YTD average customers, compare to what was recorded using monthly customer counts, and record the difference in December so that the annual decoupled revenue is based on YTD average customers. This amount includes that annual true-up that resulted in a decrease to decoupled revenue of $12,689.42.</t>
  </si>
  <si>
    <t>(22) + (44)</t>
  </si>
  <si>
    <t>Average Decoupled Customers (average of line 9 in Deferral Calc for April-Dec 2020)</t>
  </si>
  <si>
    <t>Sum of Decoupled Revenue per Customer (sum of line 10 in Deferral Calc for April-Dec 2020)</t>
  </si>
  <si>
    <t>Average Decoupled Customers (average of line 33 in Deferral Calc for April-Dec 2020)</t>
  </si>
  <si>
    <t>Sum of Decoupled Revenue per Customer (sum of line 34 in Deferral Calc for April-Dec 2020)</t>
  </si>
  <si>
    <t>December Decoupled Customers (line 9, column n in Deferral Calc)</t>
  </si>
  <si>
    <t>December Decoupled Customers (line 33, column n in Deferral Calc)</t>
  </si>
  <si>
    <t>Separately for residential and non-residential, calculated YTD average decoupled (test year existing) customers and multiplied that by the sum of decoupled revenue per customer by month  to calculate total decoupled revenue for the period based on YTD average customers (for 2020, the YTD was from April through December as the order was effective 4/1/2020). This was compared to the amount recorded using monthly decoupled customers and monthly decoupled revenue per customer. The difference was recorded with the monthly decoupled revenue for December 2020.</t>
  </si>
  <si>
    <t>Total Decoupled Revenue using Average Decoupled Customers</t>
  </si>
  <si>
    <t>Total Decoupled Revenue for December using monthly decoupled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</si>
</sst>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000_);_(&quot;$&quot;* \(#,##0.00000\);_(&quot;$&quot;* &quot;-&quot;??_);_(@_)"/>
    <numFmt numFmtId="167" formatCode="[$-409]mmm\-yy;@"/>
    <numFmt numFmtId="168" formatCode="0.000000"/>
    <numFmt numFmtId="169" formatCode="&quot;$&quot;#,##0.00"/>
  </numFmts>
  <fonts count="34" x14ac:knownFonts="1">
    <font>
      <sz val="11"/>
      <color theme="1"/>
      <name val="Calibri"/>
      <family val="2"/>
      <scheme val="minor"/>
    </font>
    <font>
      <sz val="11"/>
      <color theme="1"/>
      <name val="Calibri"/>
      <family val="2"/>
      <scheme val="minor"/>
    </font>
    <font>
      <sz val="10"/>
      <color theme="1"/>
      <name val="Calibri"/>
      <family val="2"/>
    </font>
    <font>
      <b/>
      <sz val="12"/>
      <name val="Times New Roman"/>
      <family val="1"/>
    </font>
    <font>
      <b/>
      <sz val="12"/>
      <color theme="1"/>
      <name val="Times New Roman"/>
      <family val="1"/>
    </font>
    <font>
      <sz val="12"/>
      <color theme="1"/>
      <name val="Times New Roman"/>
      <family val="1"/>
    </font>
    <font>
      <sz val="11"/>
      <name val="Times New Roman"/>
      <family val="1"/>
    </font>
    <font>
      <sz val="12"/>
      <name val="Times New Roman"/>
      <family val="1"/>
    </font>
    <font>
      <b/>
      <sz val="14"/>
      <color theme="1"/>
      <name val="Calibri"/>
      <family val="2"/>
      <scheme val="minor"/>
    </font>
    <font>
      <sz val="14"/>
      <color theme="1"/>
      <name val="Calibri"/>
      <family val="2"/>
      <scheme val="minor"/>
    </font>
    <font>
      <b/>
      <sz val="10"/>
      <name val="Arial"/>
      <family val="2"/>
    </font>
    <font>
      <sz val="10"/>
      <name val="Arial"/>
      <family val="2"/>
    </font>
    <font>
      <b/>
      <sz val="14"/>
      <name val="Times New Roman"/>
      <family val="1"/>
    </font>
    <font>
      <sz val="10"/>
      <color theme="1"/>
      <name val="Times New Roman"/>
      <family val="1"/>
    </font>
    <font>
      <b/>
      <sz val="10"/>
      <name val="Times New Roman"/>
      <family val="1"/>
    </font>
    <font>
      <b/>
      <i/>
      <u/>
      <sz val="10"/>
      <color theme="1"/>
      <name val="Times New Roman"/>
      <family val="1"/>
    </font>
    <font>
      <b/>
      <u/>
      <sz val="10"/>
      <color theme="1"/>
      <name val="Times New Roman"/>
      <family val="1"/>
    </font>
    <font>
      <i/>
      <u/>
      <sz val="10"/>
      <color theme="1"/>
      <name val="Times New Roman"/>
      <family val="1"/>
    </font>
    <font>
      <sz val="11"/>
      <color theme="1"/>
      <name val="Times New Roman"/>
      <family val="1"/>
    </font>
    <font>
      <sz val="10"/>
      <name val="Times New Roman"/>
      <family val="1"/>
    </font>
    <font>
      <b/>
      <sz val="11"/>
      <name val="Times New Roman"/>
      <family val="1"/>
    </font>
    <font>
      <b/>
      <sz val="11"/>
      <color theme="1"/>
      <name val="Times New Roman"/>
      <family val="1"/>
    </font>
    <font>
      <b/>
      <sz val="9"/>
      <name val="Times New Roman"/>
      <family val="1"/>
    </font>
    <font>
      <b/>
      <sz val="10"/>
      <color indexed="48"/>
      <name val="Times New Roman"/>
      <family val="1"/>
    </font>
    <font>
      <sz val="10"/>
      <color indexed="48"/>
      <name val="Times New Roman"/>
      <family val="1"/>
    </font>
    <font>
      <sz val="10"/>
      <color indexed="12"/>
      <name val="Times New Roman"/>
      <family val="1"/>
    </font>
    <font>
      <i/>
      <sz val="10"/>
      <name val="Times New Roman"/>
      <family val="1"/>
    </font>
    <font>
      <i/>
      <sz val="9"/>
      <name val="Times New Roman"/>
      <family val="1"/>
    </font>
    <font>
      <b/>
      <sz val="11"/>
      <color theme="1"/>
      <name val="Calibri"/>
      <family val="2"/>
      <scheme val="minor"/>
    </font>
    <font>
      <b/>
      <sz val="10"/>
      <color theme="1"/>
      <name val="Times New Roman"/>
      <family val="1"/>
    </font>
    <font>
      <sz val="10"/>
      <color rgb="FF3333FF"/>
      <name val="Times New Roman"/>
      <family val="1"/>
    </font>
    <font>
      <sz val="10"/>
      <name val="Calibri"/>
      <family val="2"/>
    </font>
    <font>
      <sz val="10"/>
      <color theme="1"/>
      <name val="Tahoma"/>
      <family val="2"/>
    </font>
    <font>
      <b/>
      <sz val="10"/>
      <color rgb="FFFF0000"/>
      <name val="Times New Roman"/>
      <family val="1"/>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42"/>
        <bgColor indexed="64"/>
      </patternFill>
    </fill>
  </fills>
  <borders count="10">
    <border>
      <left/>
      <right/>
      <top/>
      <bottom/>
      <diagonal/>
    </border>
    <border>
      <left style="thick">
        <color auto="1"/>
      </left>
      <right/>
      <top/>
      <bottom/>
      <diagonal/>
    </border>
    <border>
      <left/>
      <right/>
      <top/>
      <bottom style="thin">
        <color indexed="64"/>
      </bottom>
      <diagonal/>
    </border>
    <border>
      <left style="thick">
        <color auto="1"/>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rgb="FFFF0000"/>
      </left>
      <right/>
      <top/>
      <bottom/>
      <diagonal/>
    </border>
    <border>
      <left style="thick">
        <color rgb="FFFF0000"/>
      </left>
      <right/>
      <top/>
      <bottom style="thin">
        <color indexed="64"/>
      </bottom>
      <diagonal/>
    </border>
    <border>
      <left style="thick">
        <color rgb="FFFF0000"/>
      </left>
      <right/>
      <top style="thin">
        <color indexed="64"/>
      </top>
      <bottom/>
      <diagonal/>
    </border>
  </borders>
  <cellStyleXfs count="1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10" fillId="3" borderId="2" applyNumberFormat="0">
      <alignment horizontal="center" vertical="center" wrapText="1"/>
    </xf>
    <xf numFmtId="44" fontId="11" fillId="0" borderId="0" applyFont="0" applyFill="0" applyBorder="0" applyAlignment="0" applyProtection="0"/>
    <xf numFmtId="43" fontId="2" fillId="0" borderId="0" applyFont="0" applyFill="0" applyBorder="0" applyAlignment="0" applyProtection="0"/>
    <xf numFmtId="0" fontId="10" fillId="3" borderId="2" applyNumberFormat="0">
      <alignment horizontal="center" vertical="center" wrapText="1"/>
    </xf>
    <xf numFmtId="9" fontId="2" fillId="0" borderId="0" applyFont="0" applyFill="0" applyBorder="0" applyAlignment="0" applyProtection="0"/>
    <xf numFmtId="44" fontId="2" fillId="0" borderId="0" applyFont="0" applyFill="0" applyBorder="0" applyAlignment="0" applyProtection="0"/>
    <xf numFmtId="0" fontId="11" fillId="0" borderId="0"/>
    <xf numFmtId="0" fontId="3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82">
    <xf numFmtId="0" fontId="0" fillId="0" borderId="0" xfId="0"/>
    <xf numFmtId="0" fontId="4" fillId="2" borderId="0" xfId="0" applyFont="1" applyFill="1" applyAlignment="1">
      <alignment horizontal="center"/>
    </xf>
    <xf numFmtId="0" fontId="5" fillId="2" borderId="0" xfId="0" applyFont="1" applyFill="1"/>
    <xf numFmtId="0" fontId="6" fillId="2" borderId="0" xfId="0" applyFont="1" applyFill="1" applyBorder="1" applyAlignment="1">
      <alignment horizontal="center"/>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5" fillId="2" borderId="1" xfId="0" applyFont="1" applyFill="1" applyBorder="1"/>
    <xf numFmtId="0" fontId="0" fillId="2" borderId="0" xfId="0" applyFill="1" applyBorder="1"/>
    <xf numFmtId="164" fontId="5" fillId="2" borderId="0" xfId="2" applyNumberFormat="1" applyFont="1" applyFill="1"/>
    <xf numFmtId="164" fontId="5" fillId="0" borderId="0" xfId="2" applyNumberFormat="1" applyFont="1" applyFill="1"/>
    <xf numFmtId="164" fontId="5" fillId="0" borderId="1" xfId="2" applyNumberFormat="1" applyFont="1" applyFill="1" applyBorder="1"/>
    <xf numFmtId="164" fontId="5" fillId="0" borderId="0" xfId="2" applyNumberFormat="1" applyFont="1" applyFill="1" applyBorder="1"/>
    <xf numFmtId="0" fontId="7" fillId="2" borderId="0" xfId="0" applyFont="1" applyFill="1"/>
    <xf numFmtId="164" fontId="5" fillId="2" borderId="0" xfId="0" applyNumberFormat="1" applyFont="1" applyFill="1"/>
    <xf numFmtId="164" fontId="5" fillId="2" borderId="1" xfId="0" applyNumberFormat="1" applyFont="1" applyFill="1" applyBorder="1"/>
    <xf numFmtId="164" fontId="5" fillId="2" borderId="0" xfId="0" applyNumberFormat="1" applyFont="1" applyFill="1" applyBorder="1"/>
    <xf numFmtId="165" fontId="5" fillId="2" borderId="0" xfId="0" applyNumberFormat="1" applyFont="1" applyFill="1"/>
    <xf numFmtId="165" fontId="5" fillId="2" borderId="0" xfId="1" applyNumberFormat="1" applyFont="1" applyFill="1"/>
    <xf numFmtId="165" fontId="5" fillId="2" borderId="1" xfId="1" applyNumberFormat="1" applyFont="1" applyFill="1" applyBorder="1"/>
    <xf numFmtId="165" fontId="5" fillId="2" borderId="0" xfId="1" applyNumberFormat="1" applyFont="1" applyFill="1" applyBorder="1"/>
    <xf numFmtId="0" fontId="5" fillId="0" borderId="0" xfId="0" applyFont="1" applyFill="1"/>
    <xf numFmtId="166" fontId="5" fillId="0" borderId="0" xfId="2" applyNumberFormat="1" applyFont="1" applyFill="1"/>
    <xf numFmtId="0" fontId="0" fillId="0" borderId="1" xfId="0" applyBorder="1"/>
    <xf numFmtId="0" fontId="0" fillId="0" borderId="0" xfId="0" applyBorder="1"/>
    <xf numFmtId="37" fontId="5" fillId="2" borderId="0" xfId="0" applyNumberFormat="1" applyFont="1" applyFill="1"/>
    <xf numFmtId="7" fontId="5" fillId="0" borderId="0" xfId="2" applyNumberFormat="1" applyFont="1" applyFill="1"/>
    <xf numFmtId="7" fontId="5" fillId="0" borderId="0" xfId="2" applyNumberFormat="1" applyFont="1" applyFill="1" applyAlignment="1">
      <alignment horizontal="center"/>
    </xf>
    <xf numFmtId="164" fontId="5" fillId="2" borderId="1" xfId="2" applyNumberFormat="1" applyFont="1" applyFill="1" applyBorder="1" applyAlignment="1">
      <alignment horizontal="center"/>
    </xf>
    <xf numFmtId="164" fontId="5" fillId="2" borderId="0" xfId="2" applyNumberFormat="1" applyFont="1" applyFill="1" applyAlignment="1">
      <alignment horizontal="center"/>
    </xf>
    <xf numFmtId="0" fontId="5" fillId="0" borderId="0" xfId="0" applyFont="1"/>
    <xf numFmtId="0" fontId="0" fillId="2" borderId="1" xfId="0" applyFill="1" applyBorder="1" applyAlignment="1">
      <alignment vertical="center"/>
    </xf>
    <xf numFmtId="0" fontId="0" fillId="2" borderId="0" xfId="0" applyFill="1" applyBorder="1" applyAlignment="1">
      <alignment vertical="center"/>
    </xf>
    <xf numFmtId="0" fontId="5" fillId="2" borderId="0" xfId="0" applyFont="1" applyFill="1" applyAlignment="1">
      <alignment horizontal="center"/>
    </xf>
    <xf numFmtId="44" fontId="0" fillId="0" borderId="0" xfId="0" applyNumberFormat="1"/>
    <xf numFmtId="7" fontId="5" fillId="2" borderId="0" xfId="2" applyNumberFormat="1" applyFont="1" applyFill="1"/>
    <xf numFmtId="0" fontId="8" fillId="0" borderId="0" xfId="0" applyFont="1"/>
    <xf numFmtId="0" fontId="9" fillId="0" borderId="0" xfId="0" applyFont="1"/>
    <xf numFmtId="164" fontId="0" fillId="0" borderId="0" xfId="0" applyNumberFormat="1"/>
    <xf numFmtId="166" fontId="0" fillId="0" borderId="0" xfId="0" applyNumberFormat="1"/>
    <xf numFmtId="0" fontId="5" fillId="2" borderId="0" xfId="4" applyFont="1" applyFill="1"/>
    <xf numFmtId="41" fontId="3" fillId="2" borderId="2" xfId="5" applyNumberFormat="1" applyFont="1" applyFill="1" applyBorder="1">
      <alignment horizontal="center" vertical="center" wrapText="1"/>
    </xf>
    <xf numFmtId="0" fontId="5" fillId="2" borderId="2" xfId="4" applyFont="1" applyFill="1" applyBorder="1"/>
    <xf numFmtId="0" fontId="5" fillId="2" borderId="0" xfId="4" applyFont="1" applyFill="1" applyAlignment="1">
      <alignment horizontal="center"/>
    </xf>
    <xf numFmtId="0" fontId="5" fillId="2" borderId="0" xfId="4" applyFont="1" applyFill="1" applyAlignment="1">
      <alignment horizontal="left"/>
    </xf>
    <xf numFmtId="164" fontId="5" fillId="2" borderId="0" xfId="6" applyNumberFormat="1" applyFont="1" applyFill="1"/>
    <xf numFmtId="165" fontId="5" fillId="2" borderId="0" xfId="7" applyNumberFormat="1" applyFont="1" applyFill="1" applyBorder="1"/>
    <xf numFmtId="44" fontId="5" fillId="2" borderId="0" xfId="6" applyNumberFormat="1" applyFont="1" applyFill="1"/>
    <xf numFmtId="0" fontId="5" fillId="2" borderId="0" xfId="4" quotePrefix="1" applyFont="1" applyFill="1" applyAlignment="1">
      <alignment horizontal="left"/>
    </xf>
    <xf numFmtId="164" fontId="5" fillId="2" borderId="0" xfId="4" applyNumberFormat="1" applyFont="1" applyFill="1"/>
    <xf numFmtId="0" fontId="5" fillId="0" borderId="0" xfId="0" applyFont="1" applyAlignment="1">
      <alignment horizontal="right"/>
    </xf>
    <xf numFmtId="164" fontId="5" fillId="0" borderId="0" xfId="2" applyNumberFormat="1" applyFont="1"/>
    <xf numFmtId="164" fontId="5" fillId="0" borderId="4" xfId="2" applyNumberFormat="1" applyFont="1" applyBorder="1"/>
    <xf numFmtId="164" fontId="0" fillId="0" borderId="0" xfId="2" applyNumberFormat="1" applyFont="1"/>
    <xf numFmtId="165" fontId="0" fillId="0" borderId="0" xfId="1" applyNumberFormat="1" applyFont="1"/>
    <xf numFmtId="0" fontId="13" fillId="2" borderId="0" xfId="4" applyFont="1" applyFill="1"/>
    <xf numFmtId="0" fontId="13" fillId="2" borderId="0" xfId="4" applyFont="1" applyFill="1" applyAlignment="1">
      <alignment horizontal="center"/>
    </xf>
    <xf numFmtId="41" fontId="14" fillId="2" borderId="2" xfId="8" applyNumberFormat="1" applyFont="1" applyFill="1" applyBorder="1">
      <alignment horizontal="center" vertical="center" wrapText="1"/>
    </xf>
    <xf numFmtId="0" fontId="13" fillId="2" borderId="2" xfId="4" applyFont="1" applyFill="1" applyBorder="1"/>
    <xf numFmtId="41" fontId="14" fillId="2" borderId="2" xfId="8" applyNumberFormat="1" applyFont="1" applyFill="1" applyBorder="1" applyAlignment="1">
      <alignment horizontal="center" vertical="center" wrapText="1"/>
    </xf>
    <xf numFmtId="167" fontId="14" fillId="2" borderId="2" xfId="8" applyNumberFormat="1" applyFont="1" applyFill="1" applyBorder="1">
      <alignment horizontal="center" vertical="center" wrapText="1"/>
    </xf>
    <xf numFmtId="0" fontId="15" fillId="2" borderId="0" xfId="4" applyFont="1" applyFill="1" applyAlignment="1">
      <alignment horizontal="left"/>
    </xf>
    <xf numFmtId="0" fontId="16" fillId="2" borderId="0" xfId="4" applyFont="1" applyFill="1"/>
    <xf numFmtId="164" fontId="13" fillId="2" borderId="0" xfId="6" applyNumberFormat="1" applyFont="1" applyFill="1"/>
    <xf numFmtId="3" fontId="13" fillId="2" borderId="0" xfId="4" applyNumberFormat="1" applyFont="1" applyFill="1"/>
    <xf numFmtId="0" fontId="17" fillId="2" borderId="0" xfId="4" applyFont="1" applyFill="1"/>
    <xf numFmtId="0" fontId="13" fillId="2" borderId="0" xfId="4" quotePrefix="1" applyFont="1" applyFill="1" applyAlignment="1">
      <alignment horizontal="left"/>
    </xf>
    <xf numFmtId="165" fontId="18" fillId="0" borderId="0" xfId="0" applyNumberFormat="1" applyFont="1"/>
    <xf numFmtId="3" fontId="19" fillId="2" borderId="0" xfId="4" applyNumberFormat="1" applyFont="1" applyFill="1"/>
    <xf numFmtId="0" fontId="19" fillId="2" borderId="0" xfId="4" quotePrefix="1" applyFont="1" applyFill="1" applyAlignment="1">
      <alignment horizontal="center"/>
    </xf>
    <xf numFmtId="10" fontId="19" fillId="2" borderId="0" xfId="9" applyNumberFormat="1" applyFont="1" applyFill="1"/>
    <xf numFmtId="0" fontId="19" fillId="2" borderId="0" xfId="4" applyFont="1" applyFill="1" applyAlignment="1">
      <alignment horizontal="center"/>
    </xf>
    <xf numFmtId="0" fontId="19" fillId="2" borderId="0" xfId="4" applyFont="1" applyFill="1"/>
    <xf numFmtId="10" fontId="13" fillId="2" borderId="0" xfId="9" applyNumberFormat="1" applyFont="1" applyFill="1"/>
    <xf numFmtId="44" fontId="13" fillId="2" borderId="0" xfId="10" applyFont="1" applyFill="1" applyAlignment="1">
      <alignment horizontal="center"/>
    </xf>
    <xf numFmtId="44" fontId="13" fillId="2" borderId="0" xfId="4" applyNumberFormat="1" applyFont="1" applyFill="1"/>
    <xf numFmtId="165" fontId="13" fillId="2" borderId="0" xfId="7" applyNumberFormat="1" applyFont="1" applyFill="1" applyAlignment="1">
      <alignment horizontal="center"/>
    </xf>
    <xf numFmtId="0" fontId="18" fillId="0" borderId="0" xfId="0" applyFont="1"/>
    <xf numFmtId="0" fontId="22" fillId="0" borderId="0" xfId="0" applyFont="1" applyBorder="1" applyAlignment="1">
      <alignment horizontal="center"/>
    </xf>
    <xf numFmtId="0" fontId="19" fillId="0" borderId="0" xfId="0" applyFont="1"/>
    <xf numFmtId="168" fontId="23" fillId="0" borderId="0" xfId="0" applyNumberFormat="1" applyFont="1" applyAlignment="1">
      <alignment horizontal="center"/>
    </xf>
    <xf numFmtId="168" fontId="19" fillId="0" borderId="0" xfId="0" applyNumberFormat="1" applyFont="1"/>
    <xf numFmtId="168" fontId="14" fillId="0" borderId="0" xfId="0" applyNumberFormat="1" applyFont="1"/>
    <xf numFmtId="0" fontId="22" fillId="0" borderId="2" xfId="0" applyFont="1" applyBorder="1" applyAlignment="1">
      <alignment horizontal="center"/>
    </xf>
    <xf numFmtId="0" fontId="19" fillId="0" borderId="0" xfId="0" applyFont="1" applyAlignment="1">
      <alignment horizontal="center"/>
    </xf>
    <xf numFmtId="0" fontId="22" fillId="0" borderId="0" xfId="0" applyFont="1" applyAlignment="1">
      <alignment horizontal="center"/>
    </xf>
    <xf numFmtId="168" fontId="19" fillId="0" borderId="0" xfId="11" applyNumberFormat="1" applyFont="1"/>
    <xf numFmtId="168" fontId="24" fillId="0" borderId="0" xfId="11" applyNumberFormat="1" applyFont="1"/>
    <xf numFmtId="168" fontId="25" fillId="0" borderId="0" xfId="0" applyNumberFormat="1" applyFont="1"/>
    <xf numFmtId="168" fontId="19" fillId="0" borderId="5" xfId="0" applyNumberFormat="1" applyFont="1" applyBorder="1"/>
    <xf numFmtId="10" fontId="24" fillId="0" borderId="0" xfId="0" applyNumberFormat="1" applyFont="1"/>
    <xf numFmtId="0" fontId="26" fillId="0" borderId="0" xfId="0" applyFont="1"/>
    <xf numFmtId="168" fontId="27" fillId="0" borderId="0" xfId="0" applyNumberFormat="1" applyFont="1"/>
    <xf numFmtId="0" fontId="29" fillId="2" borderId="0" xfId="4" applyFont="1" applyFill="1"/>
    <xf numFmtId="0" fontId="29" fillId="2" borderId="2" xfId="4" applyFont="1" applyFill="1" applyBorder="1" applyAlignment="1">
      <alignment horizontal="center" vertical="center" wrapText="1"/>
    </xf>
    <xf numFmtId="0" fontId="29" fillId="2" borderId="2" xfId="4" applyFont="1" applyFill="1" applyBorder="1" applyAlignment="1">
      <alignment vertical="center"/>
    </xf>
    <xf numFmtId="0" fontId="29" fillId="2" borderId="2" xfId="4" applyFont="1" applyFill="1" applyBorder="1" applyAlignment="1">
      <alignment horizontal="center" vertical="center"/>
    </xf>
    <xf numFmtId="167" fontId="29" fillId="2" borderId="2" xfId="4" applyNumberFormat="1" applyFont="1" applyFill="1" applyBorder="1" applyAlignment="1">
      <alignment horizontal="center" vertical="center"/>
    </xf>
    <xf numFmtId="0" fontId="29" fillId="2" borderId="0" xfId="4" applyFont="1" applyFill="1" applyAlignment="1">
      <alignment horizontal="center"/>
    </xf>
    <xf numFmtId="165" fontId="30" fillId="2" borderId="0" xfId="7" applyNumberFormat="1" applyFont="1" applyFill="1"/>
    <xf numFmtId="165" fontId="19" fillId="2" borderId="0" xfId="7" applyNumberFormat="1" applyFont="1" applyFill="1"/>
    <xf numFmtId="164" fontId="19" fillId="2" borderId="0" xfId="4" applyNumberFormat="1" applyFont="1" applyFill="1"/>
    <xf numFmtId="165" fontId="19" fillId="2" borderId="0" xfId="4" applyNumberFormat="1" applyFont="1" applyFill="1"/>
    <xf numFmtId="0" fontId="13" fillId="2" borderId="0" xfId="4" applyFont="1" applyFill="1" applyAlignment="1">
      <alignment horizontal="left" wrapText="1"/>
    </xf>
    <xf numFmtId="164" fontId="30" fillId="2" borderId="0" xfId="2" applyNumberFormat="1" applyFont="1" applyFill="1"/>
    <xf numFmtId="164" fontId="19" fillId="2" borderId="0" xfId="2" applyNumberFormat="1" applyFont="1" applyFill="1"/>
    <xf numFmtId="169" fontId="19" fillId="2" borderId="0" xfId="4" applyNumberFormat="1" applyFont="1" applyFill="1" applyAlignment="1">
      <alignment vertical="center"/>
    </xf>
    <xf numFmtId="164" fontId="19" fillId="2" borderId="0" xfId="10" applyNumberFormat="1" applyFont="1" applyFill="1"/>
    <xf numFmtId="164" fontId="14" fillId="2" borderId="4" xfId="4" applyNumberFormat="1" applyFont="1" applyFill="1" applyBorder="1"/>
    <xf numFmtId="164" fontId="14" fillId="2" borderId="6" xfId="4" applyNumberFormat="1" applyFont="1" applyFill="1" applyBorder="1"/>
    <xf numFmtId="164" fontId="19" fillId="2" borderId="0" xfId="4" applyNumberFormat="1" applyFont="1" applyFill="1" applyAlignment="1">
      <alignment vertical="center"/>
    </xf>
    <xf numFmtId="0" fontId="13" fillId="2" borderId="0" xfId="4" applyFont="1" applyFill="1" applyAlignment="1">
      <alignment horizontal="left"/>
    </xf>
    <xf numFmtId="169" fontId="13" fillId="2" borderId="0" xfId="4" applyNumberFormat="1" applyFont="1" applyFill="1"/>
    <xf numFmtId="0" fontId="29" fillId="2" borderId="0" xfId="4" applyFont="1" applyFill="1" applyBorder="1"/>
    <xf numFmtId="0" fontId="13" fillId="2" borderId="0" xfId="4" applyFont="1" applyFill="1" applyBorder="1" applyAlignment="1">
      <alignment horizontal="center"/>
    </xf>
    <xf numFmtId="164" fontId="19" fillId="2" borderId="0" xfId="4" applyNumberFormat="1" applyFont="1" applyFill="1" applyBorder="1"/>
    <xf numFmtId="169" fontId="19" fillId="2" borderId="0" xfId="4" applyNumberFormat="1" applyFont="1" applyFill="1" applyBorder="1" applyAlignment="1">
      <alignment vertical="center"/>
    </xf>
    <xf numFmtId="164" fontId="19" fillId="2" borderId="0" xfId="10" applyNumberFormat="1" applyFont="1" applyFill="1" applyBorder="1"/>
    <xf numFmtId="169" fontId="13" fillId="2" borderId="0" xfId="4" applyNumberFormat="1" applyFont="1" applyFill="1" applyBorder="1"/>
    <xf numFmtId="0" fontId="13" fillId="2" borderId="0" xfId="4" applyFont="1" applyFill="1" applyBorder="1"/>
    <xf numFmtId="0" fontId="0" fillId="0" borderId="0" xfId="0" applyAlignment="1">
      <alignment horizontal="right"/>
    </xf>
    <xf numFmtId="0" fontId="0" fillId="0" borderId="0" xfId="0" applyAlignment="1">
      <alignment shrinkToFit="1"/>
    </xf>
    <xf numFmtId="0" fontId="4" fillId="2" borderId="0" xfId="0" applyFont="1" applyFill="1" applyAlignment="1">
      <alignment horizontal="center"/>
    </xf>
    <xf numFmtId="167" fontId="29" fillId="2" borderId="8" xfId="4" applyNumberFormat="1" applyFont="1" applyFill="1" applyBorder="1" applyAlignment="1">
      <alignment horizontal="center" vertical="center"/>
    </xf>
    <xf numFmtId="0" fontId="13" fillId="2" borderId="7" xfId="4" applyFont="1" applyFill="1" applyBorder="1" applyAlignment="1">
      <alignment horizontal="center"/>
    </xf>
    <xf numFmtId="165" fontId="30" fillId="2" borderId="7" xfId="7" applyNumberFormat="1" applyFont="1" applyFill="1" applyBorder="1"/>
    <xf numFmtId="164" fontId="30" fillId="2" borderId="7" xfId="2" applyNumberFormat="1" applyFont="1" applyFill="1" applyBorder="1"/>
    <xf numFmtId="164" fontId="19" fillId="2" borderId="7" xfId="4" applyNumberFormat="1" applyFont="1" applyFill="1" applyBorder="1"/>
    <xf numFmtId="169" fontId="19" fillId="2" borderId="7" xfId="4" applyNumberFormat="1" applyFont="1" applyFill="1" applyBorder="1" applyAlignment="1">
      <alignment vertical="center"/>
    </xf>
    <xf numFmtId="164" fontId="19" fillId="2" borderId="7" xfId="10" applyNumberFormat="1" applyFont="1" applyFill="1" applyBorder="1"/>
    <xf numFmtId="164" fontId="14" fillId="2" borderId="9" xfId="4" applyNumberFormat="1" applyFont="1" applyFill="1" applyBorder="1"/>
    <xf numFmtId="169" fontId="13" fillId="2" borderId="7" xfId="4" applyNumberFormat="1" applyFont="1" applyFill="1" applyBorder="1"/>
    <xf numFmtId="0" fontId="13" fillId="2" borderId="7" xfId="4" applyFont="1" applyFill="1" applyBorder="1"/>
    <xf numFmtId="165" fontId="19" fillId="2" borderId="7" xfId="7" applyNumberFormat="1" applyFont="1" applyFill="1" applyBorder="1"/>
    <xf numFmtId="164" fontId="19" fillId="2" borderId="7" xfId="2" applyNumberFormat="1" applyFont="1" applyFill="1" applyBorder="1"/>
    <xf numFmtId="0" fontId="13" fillId="2" borderId="0" xfId="4" applyFont="1" applyFill="1" applyAlignment="1">
      <alignment horizontal="center" vertical="center"/>
    </xf>
    <xf numFmtId="164" fontId="30" fillId="2" borderId="0" xfId="2" applyNumberFormat="1" applyFont="1" applyFill="1" applyAlignment="1">
      <alignment vertical="center"/>
    </xf>
    <xf numFmtId="164" fontId="19" fillId="2" borderId="7" xfId="2" applyNumberFormat="1" applyFont="1" applyFill="1" applyBorder="1" applyAlignment="1">
      <alignment vertical="center"/>
    </xf>
    <xf numFmtId="164" fontId="19" fillId="2" borderId="0" xfId="2" applyNumberFormat="1" applyFont="1" applyFill="1" applyAlignment="1">
      <alignment vertical="center"/>
    </xf>
    <xf numFmtId="0" fontId="13" fillId="2" borderId="0" xfId="4" applyFont="1" applyFill="1" applyAlignment="1">
      <alignment vertical="center" wrapText="1"/>
    </xf>
    <xf numFmtId="0" fontId="28" fillId="2" borderId="0" xfId="0" applyFont="1" applyFill="1" applyAlignment="1">
      <alignment horizontal="right" vertical="top"/>
    </xf>
    <xf numFmtId="0" fontId="28" fillId="2" borderId="0" xfId="0" applyFont="1" applyFill="1" applyAlignment="1">
      <alignment horizontal="right"/>
    </xf>
    <xf numFmtId="0" fontId="0" fillId="2" borderId="0" xfId="0" applyFill="1"/>
    <xf numFmtId="0" fontId="0" fillId="2" borderId="0" xfId="0" applyFill="1" applyAlignment="1">
      <alignment horizontal="right"/>
    </xf>
    <xf numFmtId="165" fontId="0" fillId="2" borderId="0" xfId="1" applyNumberFormat="1" applyFont="1" applyFill="1"/>
    <xf numFmtId="44" fontId="0" fillId="2" borderId="2" xfId="2" applyFont="1" applyFill="1" applyBorder="1"/>
    <xf numFmtId="44" fontId="0" fillId="2" borderId="0" xfId="2" applyFont="1" applyFill="1"/>
    <xf numFmtId="43" fontId="0" fillId="2" borderId="2" xfId="1" applyFont="1" applyFill="1" applyBorder="1"/>
    <xf numFmtId="44" fontId="0" fillId="4" borderId="0" xfId="2" applyFont="1" applyFill="1"/>
    <xf numFmtId="44" fontId="0" fillId="2" borderId="0" xfId="0" applyNumberFormat="1" applyFill="1"/>
    <xf numFmtId="164" fontId="14" fillId="2" borderId="0" xfId="4" applyNumberFormat="1" applyFont="1" applyFill="1" applyBorder="1"/>
    <xf numFmtId="0" fontId="4" fillId="2" borderId="0" xfId="4" applyFont="1" applyFill="1" applyAlignment="1">
      <alignment horizontal="center"/>
    </xf>
    <xf numFmtId="0" fontId="4" fillId="2" borderId="0" xfId="4" quotePrefix="1" applyFont="1" applyFill="1" applyAlignment="1">
      <alignment horizontal="center"/>
    </xf>
    <xf numFmtId="0" fontId="8" fillId="0" borderId="0" xfId="0" applyFont="1" applyFill="1"/>
    <xf numFmtId="0" fontId="2" fillId="2" borderId="0" xfId="4" applyFill="1"/>
    <xf numFmtId="165" fontId="30" fillId="2" borderId="0" xfId="7" applyNumberFormat="1" applyFont="1" applyFill="1" applyBorder="1"/>
    <xf numFmtId="164" fontId="30" fillId="2" borderId="0" xfId="2" applyNumberFormat="1" applyFont="1" applyFill="1" applyBorder="1"/>
    <xf numFmtId="165" fontId="2" fillId="2" borderId="0" xfId="4" applyNumberFormat="1" applyFill="1"/>
    <xf numFmtId="0" fontId="13" fillId="2" borderId="0" xfId="4" applyFont="1" applyFill="1" applyAlignment="1">
      <alignment horizontal="center" vertical="center" wrapText="1"/>
    </xf>
    <xf numFmtId="0" fontId="13" fillId="2" borderId="0" xfId="4" applyFont="1" applyFill="1" applyAlignment="1">
      <alignment horizontal="center" wrapText="1"/>
    </xf>
    <xf numFmtId="164" fontId="33" fillId="2" borderId="0" xfId="4" applyNumberFormat="1" applyFont="1" applyFill="1" applyAlignment="1">
      <alignment horizontal="left"/>
    </xf>
    <xf numFmtId="10" fontId="19" fillId="2" borderId="0" xfId="3" applyNumberFormat="1" applyFont="1" applyFill="1"/>
    <xf numFmtId="10" fontId="19" fillId="2" borderId="7" xfId="3" applyNumberFormat="1" applyFont="1" applyFill="1" applyBorder="1"/>
    <xf numFmtId="10" fontId="19" fillId="2" borderId="0" xfId="3" applyNumberFormat="1" applyFont="1" applyFill="1" applyBorder="1"/>
    <xf numFmtId="164" fontId="31" fillId="2" borderId="0" xfId="4" applyNumberFormat="1" applyFont="1" applyFill="1"/>
    <xf numFmtId="0" fontId="4" fillId="2" borderId="0" xfId="4" applyFont="1" applyFill="1" applyAlignment="1">
      <alignment horizontal="center"/>
    </xf>
    <xf numFmtId="0" fontId="4" fillId="2" borderId="0" xfId="4" applyFont="1" applyFill="1" applyAlignment="1">
      <alignment horizontal="center" wrapText="1"/>
    </xf>
    <xf numFmtId="0" fontId="4" fillId="2" borderId="0" xfId="4" quotePrefix="1" applyFont="1" applyFill="1" applyAlignment="1">
      <alignment horizontal="center"/>
    </xf>
    <xf numFmtId="0" fontId="14" fillId="2" borderId="0" xfId="4" applyFont="1" applyFill="1" applyAlignment="1">
      <alignment horizontal="left" wrapText="1"/>
    </xf>
    <xf numFmtId="0" fontId="3" fillId="2" borderId="0" xfId="4" quotePrefix="1" applyFont="1" applyFill="1" applyAlignment="1">
      <alignment horizontal="center"/>
    </xf>
    <xf numFmtId="0" fontId="4" fillId="2" borderId="0" xfId="0" applyFont="1" applyFill="1" applyAlignment="1">
      <alignment horizontal="center"/>
    </xf>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3" fillId="2" borderId="0" xfId="4" applyFont="1" applyFill="1" applyAlignment="1">
      <alignment horizontal="center"/>
    </xf>
    <xf numFmtId="0" fontId="12" fillId="2" borderId="0" xfId="4" applyFont="1" applyFill="1" applyAlignment="1">
      <alignment horizontal="center"/>
    </xf>
    <xf numFmtId="0" fontId="12" fillId="2" borderId="0" xfId="4" quotePrefix="1" applyFont="1" applyFill="1" applyAlignment="1">
      <alignment horizontal="center"/>
    </xf>
    <xf numFmtId="0" fontId="21" fillId="2" borderId="0" xfId="4" applyFont="1" applyFill="1" applyAlignment="1">
      <alignment horizontal="center"/>
    </xf>
    <xf numFmtId="0" fontId="20" fillId="0" borderId="0" xfId="0" applyFont="1" applyBorder="1" applyAlignment="1">
      <alignment horizontal="center"/>
    </xf>
    <xf numFmtId="168" fontId="20" fillId="0" borderId="0" xfId="0" applyNumberFormat="1" applyFont="1" applyAlignment="1">
      <alignment horizontal="center"/>
    </xf>
    <xf numFmtId="0" fontId="20" fillId="0" borderId="0" xfId="0" applyFont="1" applyAlignment="1">
      <alignment horizontal="center"/>
    </xf>
    <xf numFmtId="0" fontId="28" fillId="2" borderId="0" xfId="0" applyFont="1" applyFill="1" applyAlignment="1">
      <alignment horizontal="center"/>
    </xf>
    <xf numFmtId="0" fontId="0" fillId="2" borderId="0" xfId="0" applyFill="1" applyAlignment="1">
      <alignment horizontal="justify" vertical="top" wrapText="1"/>
    </xf>
  </cellXfs>
  <cellStyles count="17">
    <cellStyle name="Comma" xfId="1" builtinId="3"/>
    <cellStyle name="Comma 2" xfId="7" xr:uid="{00000000-0005-0000-0000-000001000000}"/>
    <cellStyle name="Comma 3" xfId="14" xr:uid="{DE096301-09E5-41BA-9E56-EEDFCC758A31}"/>
    <cellStyle name="Currency" xfId="2" builtinId="4"/>
    <cellStyle name="Currency 2" xfId="10" xr:uid="{00000000-0005-0000-0000-000003000000}"/>
    <cellStyle name="Currency 2 2" xfId="6" xr:uid="{00000000-0005-0000-0000-000004000000}"/>
    <cellStyle name="Currency 3" xfId="15" xr:uid="{5D05611E-2E69-4748-B6C9-060D9EEBF530}"/>
    <cellStyle name="Normal" xfId="0" builtinId="0"/>
    <cellStyle name="Normal 2" xfId="4" xr:uid="{00000000-0005-0000-0000-000006000000}"/>
    <cellStyle name="Normal 2 2" xfId="11" xr:uid="{00000000-0005-0000-0000-000007000000}"/>
    <cellStyle name="Normal 3" xfId="13" xr:uid="{BF4DD3C5-C012-40C7-B9A6-15345B7500CE}"/>
    <cellStyle name="Normal 4" xfId="12" xr:uid="{F849BD27-BE6E-4041-9EDB-82BAD7C8DB0A}"/>
    <cellStyle name="Percent" xfId="3" builtinId="5"/>
    <cellStyle name="Percent 2" xfId="9" xr:uid="{00000000-0005-0000-0000-000009000000}"/>
    <cellStyle name="Percent 3" xfId="16" xr:uid="{1A1A4B48-DB9E-41C6-B0C0-E298E8F1E066}"/>
    <cellStyle name="Report Heading 2" xfId="5" xr:uid="{00000000-0005-0000-0000-00000A000000}"/>
    <cellStyle name="Report Heading 3 2" xfId="8" xr:uid="{00000000-0005-0000-0000-00000B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DD1B0-F169-4562-826D-4F573D0DC8E2}">
  <sheetPr>
    <pageSetUpPr fitToPage="1"/>
  </sheetPr>
  <dimension ref="A1:Q34"/>
  <sheetViews>
    <sheetView view="pageBreakPreview" zoomScale="60" zoomScaleNormal="100" workbookViewId="0">
      <selection activeCell="E16" sqref="E16"/>
    </sheetView>
  </sheetViews>
  <sheetFormatPr defaultRowHeight="15" x14ac:dyDescent="0.25"/>
  <cols>
    <col min="1" max="1" width="9.42578125" customWidth="1"/>
    <col min="2" max="2" width="33" customWidth="1"/>
    <col min="3" max="3" width="18.5703125" customWidth="1"/>
    <col min="4" max="4" width="14.85546875" bestFit="1" customWidth="1"/>
    <col min="5" max="6" width="14.42578125" bestFit="1" customWidth="1"/>
    <col min="7" max="7" width="14.140625" bestFit="1" customWidth="1"/>
    <col min="8" max="8" width="13.42578125" customWidth="1"/>
    <col min="9" max="9" width="13" bestFit="1" customWidth="1"/>
    <col min="10" max="10" width="13.28515625" bestFit="1" customWidth="1"/>
    <col min="11" max="11" width="12.7109375" bestFit="1" customWidth="1"/>
    <col min="12" max="13" width="14.140625" bestFit="1" customWidth="1"/>
    <col min="14" max="14" width="14.85546875" bestFit="1" customWidth="1"/>
    <col min="15" max="15" width="15.42578125" bestFit="1" customWidth="1"/>
    <col min="16" max="16" width="4.85546875" bestFit="1" customWidth="1"/>
    <col min="17" max="17" width="15" customWidth="1"/>
  </cols>
  <sheetData>
    <row r="1" spans="1:17" ht="15.75" x14ac:dyDescent="0.25">
      <c r="A1" s="165" t="s">
        <v>0</v>
      </c>
      <c r="B1" s="165"/>
      <c r="C1" s="165"/>
      <c r="D1" s="165"/>
      <c r="E1" s="165"/>
      <c r="F1" s="165"/>
      <c r="G1" s="165"/>
      <c r="H1" s="165"/>
      <c r="I1" s="165"/>
      <c r="J1" s="165"/>
      <c r="K1" s="165"/>
      <c r="L1" s="165"/>
      <c r="M1" s="165"/>
      <c r="N1" s="165"/>
      <c r="O1" s="165"/>
      <c r="P1" s="151"/>
      <c r="Q1" s="154"/>
    </row>
    <row r="2" spans="1:17" ht="42" customHeight="1" x14ac:dyDescent="0.25">
      <c r="A2" s="166" t="s">
        <v>143</v>
      </c>
      <c r="B2" s="165"/>
      <c r="C2" s="165"/>
      <c r="D2" s="165"/>
      <c r="E2" s="165"/>
      <c r="F2" s="165"/>
      <c r="G2" s="165"/>
      <c r="H2" s="165"/>
      <c r="I2" s="165"/>
      <c r="J2" s="165"/>
      <c r="K2" s="165"/>
      <c r="L2" s="165"/>
      <c r="M2" s="165"/>
      <c r="N2" s="165"/>
      <c r="O2" s="165"/>
      <c r="P2" s="151"/>
      <c r="Q2" s="154"/>
    </row>
    <row r="3" spans="1:17" ht="15.75" customHeight="1" x14ac:dyDescent="0.25">
      <c r="A3" s="167" t="s">
        <v>133</v>
      </c>
      <c r="B3" s="165"/>
      <c r="C3" s="165"/>
      <c r="D3" s="165"/>
      <c r="E3" s="165"/>
      <c r="F3" s="165"/>
      <c r="G3" s="165"/>
      <c r="H3" s="165"/>
      <c r="I3" s="165"/>
      <c r="J3" s="165"/>
      <c r="K3" s="165"/>
      <c r="L3" s="165"/>
      <c r="M3" s="165"/>
      <c r="N3" s="165"/>
      <c r="O3" s="165"/>
      <c r="P3" s="151"/>
      <c r="Q3" s="154"/>
    </row>
    <row r="4" spans="1:17" ht="15" customHeight="1" x14ac:dyDescent="0.25">
      <c r="A4" s="152"/>
      <c r="B4" s="151"/>
      <c r="C4" s="151"/>
      <c r="D4" s="56"/>
      <c r="E4" s="151"/>
      <c r="F4" s="151"/>
      <c r="G4" s="151"/>
      <c r="H4" s="151"/>
      <c r="I4" s="151"/>
      <c r="J4" s="151"/>
      <c r="K4" s="151"/>
      <c r="L4" s="151"/>
      <c r="M4" s="151"/>
      <c r="N4" s="151"/>
      <c r="O4" s="151"/>
      <c r="P4" s="151"/>
      <c r="Q4" s="154"/>
    </row>
    <row r="5" spans="1:17" x14ac:dyDescent="0.25">
      <c r="A5" s="55"/>
      <c r="B5" s="55"/>
      <c r="C5" s="55"/>
      <c r="D5" s="56"/>
      <c r="E5" s="93"/>
      <c r="F5" s="93"/>
      <c r="G5" s="93"/>
      <c r="H5" s="113"/>
      <c r="I5" s="93"/>
      <c r="J5" s="93"/>
      <c r="K5" s="93"/>
      <c r="L5" s="93"/>
      <c r="M5" s="93"/>
      <c r="N5" s="93"/>
      <c r="O5" s="93"/>
      <c r="P5" s="93"/>
      <c r="Q5" s="154"/>
    </row>
    <row r="6" spans="1:17" x14ac:dyDescent="0.25">
      <c r="A6" s="94" t="s">
        <v>40</v>
      </c>
      <c r="B6" s="95"/>
      <c r="C6" s="96" t="s">
        <v>41</v>
      </c>
      <c r="D6" s="97">
        <v>43831</v>
      </c>
      <c r="E6" s="97">
        <f t="shared" ref="E6:O6" si="0">EDATE(D6,1)</f>
        <v>43862</v>
      </c>
      <c r="F6" s="97">
        <f t="shared" si="0"/>
        <v>43891</v>
      </c>
      <c r="G6" s="123">
        <f t="shared" si="0"/>
        <v>43922</v>
      </c>
      <c r="H6" s="97">
        <f t="shared" si="0"/>
        <v>43952</v>
      </c>
      <c r="I6" s="97">
        <f t="shared" si="0"/>
        <v>43983</v>
      </c>
      <c r="J6" s="97">
        <f t="shared" si="0"/>
        <v>44013</v>
      </c>
      <c r="K6" s="97">
        <f t="shared" si="0"/>
        <v>44044</v>
      </c>
      <c r="L6" s="97">
        <f t="shared" si="0"/>
        <v>44075</v>
      </c>
      <c r="M6" s="97">
        <f t="shared" si="0"/>
        <v>44105</v>
      </c>
      <c r="N6" s="97">
        <f t="shared" si="0"/>
        <v>44136</v>
      </c>
      <c r="O6" s="97">
        <f t="shared" si="0"/>
        <v>44166</v>
      </c>
      <c r="P6" s="97"/>
      <c r="Q6" s="97" t="s">
        <v>58</v>
      </c>
    </row>
    <row r="7" spans="1:17" ht="16.899999999999999" customHeight="1" x14ac:dyDescent="0.25">
      <c r="A7" s="56"/>
      <c r="B7" s="56" t="s">
        <v>44</v>
      </c>
      <c r="C7" s="56" t="s">
        <v>45</v>
      </c>
      <c r="D7" s="56" t="s">
        <v>46</v>
      </c>
      <c r="E7" s="56" t="s">
        <v>47</v>
      </c>
      <c r="F7" s="56" t="s">
        <v>73</v>
      </c>
      <c r="G7" s="124" t="s">
        <v>74</v>
      </c>
      <c r="H7" s="114" t="s">
        <v>75</v>
      </c>
      <c r="I7" s="56" t="s">
        <v>76</v>
      </c>
      <c r="J7" s="56" t="s">
        <v>77</v>
      </c>
      <c r="K7" s="56" t="s">
        <v>78</v>
      </c>
      <c r="L7" s="56" t="s">
        <v>79</v>
      </c>
      <c r="M7" s="56" t="s">
        <v>80</v>
      </c>
      <c r="N7" s="56" t="s">
        <v>81</v>
      </c>
      <c r="O7" s="56" t="s">
        <v>82</v>
      </c>
      <c r="P7" s="56"/>
      <c r="Q7" s="56" t="s">
        <v>83</v>
      </c>
    </row>
    <row r="8" spans="1:17" x14ac:dyDescent="0.25">
      <c r="A8" s="56"/>
      <c r="B8" s="56"/>
      <c r="C8" s="56"/>
      <c r="D8" s="56"/>
      <c r="E8" s="56"/>
      <c r="F8" s="56"/>
      <c r="G8" s="124"/>
      <c r="H8" s="114"/>
      <c r="I8" s="56"/>
      <c r="J8" s="56"/>
      <c r="K8" s="56"/>
      <c r="L8" s="56"/>
      <c r="M8" s="56"/>
      <c r="N8" s="56"/>
      <c r="O8" s="56"/>
      <c r="P8" s="56"/>
      <c r="Q8" s="56"/>
    </row>
    <row r="9" spans="1:17" x14ac:dyDescent="0.25">
      <c r="A9" s="56"/>
      <c r="B9" s="98" t="s">
        <v>114</v>
      </c>
      <c r="C9" s="56"/>
      <c r="D9" s="56"/>
      <c r="E9" s="56"/>
      <c r="F9" s="56"/>
      <c r="G9" s="124"/>
      <c r="H9" s="114"/>
      <c r="I9" s="56"/>
      <c r="J9" s="56"/>
      <c r="K9" s="56"/>
      <c r="L9" s="56"/>
      <c r="M9" s="56"/>
      <c r="N9" s="56"/>
      <c r="O9" s="56"/>
      <c r="P9" s="56"/>
      <c r="Q9" s="154"/>
    </row>
    <row r="10" spans="1:17" x14ac:dyDescent="0.25">
      <c r="A10" s="56">
        <v>1</v>
      </c>
      <c r="B10" s="55" t="s">
        <v>115</v>
      </c>
      <c r="C10" s="56" t="s">
        <v>116</v>
      </c>
      <c r="D10" s="56"/>
      <c r="E10" s="56"/>
      <c r="F10" s="56"/>
      <c r="G10" s="125">
        <v>167876</v>
      </c>
      <c r="H10" s="99">
        <v>167226</v>
      </c>
      <c r="I10" s="99">
        <v>168009</v>
      </c>
      <c r="J10" s="99">
        <v>168008</v>
      </c>
      <c r="K10" s="99">
        <v>167867</v>
      </c>
      <c r="L10" s="99">
        <v>168830</v>
      </c>
      <c r="M10" s="99">
        <v>168858</v>
      </c>
      <c r="N10" s="99">
        <v>168988</v>
      </c>
      <c r="O10" s="99">
        <v>169632</v>
      </c>
      <c r="P10" s="99"/>
      <c r="Q10" s="154"/>
    </row>
    <row r="11" spans="1:17" x14ac:dyDescent="0.25">
      <c r="A11" s="56">
        <v>2</v>
      </c>
      <c r="B11" s="111" t="s">
        <v>141</v>
      </c>
      <c r="C11" s="56" t="s">
        <v>116</v>
      </c>
      <c r="D11" s="56"/>
      <c r="E11" s="56"/>
      <c r="F11" s="56"/>
      <c r="G11" s="125">
        <v>8680515.4363800008</v>
      </c>
      <c r="H11" s="99">
        <v>5177292.2706300002</v>
      </c>
      <c r="I11" s="99">
        <v>3321590.0041199997</v>
      </c>
      <c r="J11" s="99">
        <v>2633257.6504199998</v>
      </c>
      <c r="K11" s="99">
        <v>2239101.1601499999</v>
      </c>
      <c r="L11" s="99">
        <v>2847296.4844299997</v>
      </c>
      <c r="M11" s="99">
        <v>8977248.5705399998</v>
      </c>
      <c r="N11" s="99">
        <v>17157822.990000002</v>
      </c>
      <c r="O11" s="99">
        <v>21531817.68</v>
      </c>
      <c r="P11" s="99"/>
      <c r="Q11" s="154"/>
    </row>
    <row r="12" spans="1:17" x14ac:dyDescent="0.25">
      <c r="A12" s="56">
        <v>3</v>
      </c>
      <c r="B12" s="55" t="s">
        <v>138</v>
      </c>
      <c r="C12" s="56" t="s">
        <v>116</v>
      </c>
      <c r="D12" s="56"/>
      <c r="E12" s="56"/>
      <c r="F12" s="56"/>
      <c r="G12" s="126">
        <v>5252399.1651499998</v>
      </c>
      <c r="H12" s="104">
        <v>3776494.5376899997</v>
      </c>
      <c r="I12" s="104">
        <v>3000532.4151799995</v>
      </c>
      <c r="J12" s="104">
        <v>2761937.1970799998</v>
      </c>
      <c r="K12" s="104">
        <v>2607616.0860400004</v>
      </c>
      <c r="L12" s="104">
        <v>2797558.38913</v>
      </c>
      <c r="M12" s="104">
        <v>5409453.3911500005</v>
      </c>
      <c r="N12" s="104">
        <v>9409132.8969499972</v>
      </c>
      <c r="O12" s="104">
        <v>11826569.679900004</v>
      </c>
      <c r="P12" s="104"/>
      <c r="Q12" s="154"/>
    </row>
    <row r="13" spans="1:17" x14ac:dyDescent="0.25">
      <c r="A13" s="56">
        <v>4</v>
      </c>
      <c r="B13" s="55" t="s">
        <v>118</v>
      </c>
      <c r="C13" s="56" t="s">
        <v>116</v>
      </c>
      <c r="D13" s="56"/>
      <c r="E13" s="56"/>
      <c r="F13" s="56"/>
      <c r="G13" s="126">
        <v>1613347</v>
      </c>
      <c r="H13" s="104">
        <v>1609139.5</v>
      </c>
      <c r="I13" s="104">
        <v>1623885</v>
      </c>
      <c r="J13" s="104">
        <v>1623369.5</v>
      </c>
      <c r="K13" s="104">
        <v>1621146.5</v>
      </c>
      <c r="L13" s="104">
        <v>1628022</v>
      </c>
      <c r="M13" s="104">
        <v>1627063</v>
      </c>
      <c r="N13" s="104">
        <v>1625839.5</v>
      </c>
      <c r="O13" s="104">
        <v>1629449.5</v>
      </c>
      <c r="P13" s="104"/>
      <c r="Q13" s="154"/>
    </row>
    <row r="14" spans="1:17" ht="20.25" customHeight="1" x14ac:dyDescent="0.25">
      <c r="A14" s="56">
        <v>5</v>
      </c>
      <c r="B14" s="55" t="s">
        <v>139</v>
      </c>
      <c r="C14" s="56" t="s">
        <v>116</v>
      </c>
      <c r="D14" s="56"/>
      <c r="E14" s="56"/>
      <c r="F14" s="56"/>
      <c r="G14" s="125">
        <v>4208</v>
      </c>
      <c r="H14" s="155">
        <v>4233</v>
      </c>
      <c r="I14" s="155">
        <v>4349</v>
      </c>
      <c r="J14" s="155">
        <v>4745</v>
      </c>
      <c r="K14" s="155">
        <v>4977</v>
      </c>
      <c r="L14" s="155">
        <v>5290</v>
      </c>
      <c r="M14" s="155">
        <v>5449</v>
      </c>
      <c r="N14" s="155">
        <v>5715</v>
      </c>
      <c r="O14" s="155">
        <v>5901</v>
      </c>
      <c r="P14" s="155"/>
      <c r="Q14" s="154"/>
    </row>
    <row r="15" spans="1:17" x14ac:dyDescent="0.25">
      <c r="A15" s="56">
        <v>6</v>
      </c>
      <c r="B15" s="111" t="s">
        <v>144</v>
      </c>
      <c r="C15" s="56" t="s">
        <v>116</v>
      </c>
      <c r="D15" s="56"/>
      <c r="E15" s="56"/>
      <c r="F15" s="56"/>
      <c r="G15" s="125">
        <v>268677</v>
      </c>
      <c r="H15" s="155">
        <v>120935.51622</v>
      </c>
      <c r="I15" s="155">
        <v>82419.100000000006</v>
      </c>
      <c r="J15" s="155">
        <v>54756.319149999996</v>
      </c>
      <c r="K15" s="155">
        <v>35744.457240000003</v>
      </c>
      <c r="L15" s="155">
        <v>44184.928159999996</v>
      </c>
      <c r="M15" s="155">
        <v>100287</v>
      </c>
      <c r="N15" s="155">
        <v>370194.34148</v>
      </c>
      <c r="O15" s="155">
        <v>614290.78149999992</v>
      </c>
      <c r="P15" s="155"/>
      <c r="Q15" s="154"/>
    </row>
    <row r="16" spans="1:17" x14ac:dyDescent="0.25">
      <c r="A16" s="56">
        <v>7</v>
      </c>
      <c r="B16" s="55" t="s">
        <v>140</v>
      </c>
      <c r="C16" s="56" t="s">
        <v>116</v>
      </c>
      <c r="D16" s="56"/>
      <c r="E16" s="56"/>
      <c r="F16" s="56"/>
      <c r="G16" s="126">
        <v>153300.92000000001</v>
      </c>
      <c r="H16" s="156">
        <v>92622.14</v>
      </c>
      <c r="I16" s="156">
        <v>77766.52</v>
      </c>
      <c r="J16" s="156">
        <v>69541.41</v>
      </c>
      <c r="K16" s="156">
        <v>62486.350000000006</v>
      </c>
      <c r="L16" s="156">
        <v>69408.45</v>
      </c>
      <c r="M16" s="156">
        <v>94794.75</v>
      </c>
      <c r="N16" s="156">
        <v>219658.68</v>
      </c>
      <c r="O16" s="156">
        <v>343300.71</v>
      </c>
      <c r="P16" s="156"/>
      <c r="Q16" s="154"/>
    </row>
    <row r="17" spans="1:17" x14ac:dyDescent="0.25">
      <c r="A17" s="56">
        <v>8</v>
      </c>
      <c r="B17" s="55" t="s">
        <v>142</v>
      </c>
      <c r="C17" s="56" t="s">
        <v>116</v>
      </c>
      <c r="D17" s="56"/>
      <c r="E17" s="56"/>
      <c r="F17" s="56"/>
      <c r="G17" s="126">
        <v>40631.5</v>
      </c>
      <c r="H17" s="156">
        <v>41053.660000000003</v>
      </c>
      <c r="I17" s="156">
        <v>42531.5</v>
      </c>
      <c r="J17" s="156">
        <v>45847</v>
      </c>
      <c r="K17" s="156">
        <v>47224.5</v>
      </c>
      <c r="L17" s="156">
        <v>50372.06</v>
      </c>
      <c r="M17" s="156">
        <v>51661</v>
      </c>
      <c r="N17" s="156">
        <v>54542.559999999998</v>
      </c>
      <c r="O17" s="156">
        <v>56078.5</v>
      </c>
      <c r="P17" s="156"/>
      <c r="Q17" s="154"/>
    </row>
    <row r="18" spans="1:17" x14ac:dyDescent="0.25">
      <c r="A18" s="56"/>
      <c r="B18" s="98"/>
      <c r="C18" s="56"/>
      <c r="D18" s="56"/>
      <c r="E18" s="56"/>
      <c r="F18" s="56"/>
      <c r="G18" s="124"/>
      <c r="H18" s="114"/>
      <c r="I18" s="56"/>
      <c r="J18" s="56"/>
      <c r="K18" s="56"/>
      <c r="L18" s="56"/>
      <c r="M18" s="56"/>
      <c r="N18" s="56"/>
      <c r="O18" s="56"/>
      <c r="P18" s="56"/>
      <c r="Q18" s="154"/>
    </row>
    <row r="19" spans="1:17" x14ac:dyDescent="0.25">
      <c r="A19" s="56">
        <v>9</v>
      </c>
      <c r="B19" s="55" t="s">
        <v>145</v>
      </c>
      <c r="C19" s="56" t="str">
        <f>"("&amp;A10&amp;") - ("&amp;A14&amp;")"</f>
        <v>(1) - (5)</v>
      </c>
      <c r="D19" s="99">
        <v>167769</v>
      </c>
      <c r="E19" s="99">
        <v>167465</v>
      </c>
      <c r="F19" s="99">
        <v>167740</v>
      </c>
      <c r="G19" s="133">
        <f>G10-G14</f>
        <v>163668</v>
      </c>
      <c r="H19" s="100">
        <f t="shared" ref="H19:O19" si="1">H10-H14</f>
        <v>162993</v>
      </c>
      <c r="I19" s="100">
        <f>I10-I14</f>
        <v>163660</v>
      </c>
      <c r="J19" s="100">
        <f t="shared" si="1"/>
        <v>163263</v>
      </c>
      <c r="K19" s="100">
        <f t="shared" si="1"/>
        <v>162890</v>
      </c>
      <c r="L19" s="100">
        <f t="shared" si="1"/>
        <v>163540</v>
      </c>
      <c r="M19" s="100">
        <f t="shared" si="1"/>
        <v>163409</v>
      </c>
      <c r="N19" s="100">
        <f t="shared" si="1"/>
        <v>163273</v>
      </c>
      <c r="O19" s="100">
        <f t="shared" si="1"/>
        <v>163731</v>
      </c>
      <c r="P19" s="100"/>
      <c r="Q19" s="100">
        <f>SUM(D19:O19)</f>
        <v>1973401</v>
      </c>
    </row>
    <row r="20" spans="1:17" ht="25.5" x14ac:dyDescent="0.25">
      <c r="A20" s="135">
        <f t="shared" ref="A20:A21" si="2">A19+1</f>
        <v>10</v>
      </c>
      <c r="B20" s="158" t="s">
        <v>117</v>
      </c>
      <c r="C20" s="159" t="s">
        <v>149</v>
      </c>
      <c r="D20" s="106">
        <f>'Pg 5 UG-170486 Auth-3'!D21</f>
        <v>55.60659793197712</v>
      </c>
      <c r="E20" s="106">
        <f>'Pg 5 UG-170486 Auth-3'!E21</f>
        <v>44.263101987627543</v>
      </c>
      <c r="F20" s="106">
        <f>'Pg 5 UG-170486 Auth-3'!F21</f>
        <v>36.07004415129321</v>
      </c>
      <c r="G20" s="128">
        <f>'Pg 9 UG-190335 Auth-3'!G21</f>
        <v>27.528453134263444</v>
      </c>
      <c r="H20" s="106">
        <f>'Pg 9 UG-190335 Auth-3'!H21</f>
        <v>16.274018081808052</v>
      </c>
      <c r="I20" s="106">
        <f>'Pg 9 UG-190335 Auth-3'!I21</f>
        <v>8.7168382222626644</v>
      </c>
      <c r="J20" s="106">
        <f>'Pg 9 UG-190335 Auth-3'!J21</f>
        <v>6.4785954827932208</v>
      </c>
      <c r="K20" s="106">
        <f>'Pg 9 UG-190335 Auth-3'!K21</f>
        <v>6.2518978959999378</v>
      </c>
      <c r="L20" s="106">
        <f>'Pg 9 UG-190335 Auth-3'!L21</f>
        <v>8.6899263250780123</v>
      </c>
      <c r="M20" s="106">
        <f>'Pg 9 UG-190335 Auth-3'!M21</f>
        <v>24.177876885571344</v>
      </c>
      <c r="N20" s="106">
        <f>'Pg 9 UG-190335 Auth-3'!N21</f>
        <v>45.04821131204578</v>
      </c>
      <c r="O20" s="106">
        <f>'Pg 9 UG-190335 Auth-3'!O21</f>
        <v>63.76693227791737</v>
      </c>
      <c r="P20" s="106"/>
      <c r="Q20" s="106">
        <f>SUM(D20:O20)</f>
        <v>342.87249368863769</v>
      </c>
    </row>
    <row r="21" spans="1:17" x14ac:dyDescent="0.25">
      <c r="A21" s="56">
        <f t="shared" si="2"/>
        <v>11</v>
      </c>
      <c r="B21" s="55" t="s">
        <v>27</v>
      </c>
      <c r="C21" s="56" t="str">
        <f>"("&amp;A19&amp;") x ("&amp;A20&amp;")"</f>
        <v>(9) x (10)</v>
      </c>
      <c r="D21" s="101">
        <f t="shared" ref="D21:N21" si="3">D19*D20</f>
        <v>9329063.3284498695</v>
      </c>
      <c r="E21" s="101">
        <f t="shared" si="3"/>
        <v>7412520.3743580468</v>
      </c>
      <c r="F21" s="101">
        <f t="shared" si="3"/>
        <v>6050389.2059379229</v>
      </c>
      <c r="G21" s="127">
        <f t="shared" si="3"/>
        <v>4505526.8675786294</v>
      </c>
      <c r="H21" s="115">
        <f t="shared" si="3"/>
        <v>2652551.02920814</v>
      </c>
      <c r="I21" s="101">
        <f t="shared" si="3"/>
        <v>1426597.7434555076</v>
      </c>
      <c r="J21" s="101">
        <f t="shared" si="3"/>
        <v>1057714.9343072695</v>
      </c>
      <c r="K21" s="101">
        <f t="shared" si="3"/>
        <v>1018371.6482794299</v>
      </c>
      <c r="L21" s="101">
        <f t="shared" si="3"/>
        <v>1421150.5512032581</v>
      </c>
      <c r="M21" s="101">
        <f t="shared" si="3"/>
        <v>3950882.6839943277</v>
      </c>
      <c r="N21" s="101">
        <f t="shared" si="3"/>
        <v>7355156.6055516507</v>
      </c>
      <c r="O21" s="101">
        <f>O19*O20-19742.07</f>
        <v>10420881.518795688</v>
      </c>
      <c r="P21" s="160" t="s">
        <v>175</v>
      </c>
      <c r="Q21" s="101">
        <f>SUM(D21:O21)</f>
        <v>56600806.491119742</v>
      </c>
    </row>
    <row r="22" spans="1:17" x14ac:dyDescent="0.25">
      <c r="A22" s="56"/>
      <c r="B22" s="55"/>
      <c r="C22" s="56"/>
      <c r="D22" s="101"/>
      <c r="E22" s="101"/>
      <c r="F22" s="101"/>
      <c r="G22" s="127"/>
      <c r="H22" s="115"/>
      <c r="I22" s="101"/>
      <c r="J22" s="101"/>
      <c r="K22" s="101"/>
      <c r="L22" s="101"/>
      <c r="M22" s="101"/>
      <c r="N22" s="101"/>
      <c r="O22" s="101"/>
      <c r="P22" s="101"/>
      <c r="Q22" s="101"/>
    </row>
    <row r="23" spans="1:17" x14ac:dyDescent="0.25">
      <c r="A23" s="56">
        <v>12</v>
      </c>
      <c r="B23" s="55" t="s">
        <v>146</v>
      </c>
      <c r="C23" s="56" t="str">
        <f>"("&amp;A11&amp;") - ("&amp;A15&amp;")"</f>
        <v>(2) - (6)</v>
      </c>
      <c r="D23" s="99">
        <v>19902225.49027</v>
      </c>
      <c r="E23" s="99">
        <v>18156995.431090001</v>
      </c>
      <c r="F23" s="99">
        <v>16737084.3763</v>
      </c>
      <c r="G23" s="133">
        <f>G11-G15</f>
        <v>8411838.4363800008</v>
      </c>
      <c r="H23" s="100">
        <f>H11-H15</f>
        <v>5056356.7544100005</v>
      </c>
      <c r="I23" s="100">
        <f t="shared" ref="I23:O23" si="4">I11-I15</f>
        <v>3239170.9041199996</v>
      </c>
      <c r="J23" s="100">
        <f t="shared" si="4"/>
        <v>2578501.33127</v>
      </c>
      <c r="K23" s="100">
        <f t="shared" si="4"/>
        <v>2203356.70291</v>
      </c>
      <c r="L23" s="100">
        <f t="shared" si="4"/>
        <v>2803111.5562699996</v>
      </c>
      <c r="M23" s="100">
        <f t="shared" si="4"/>
        <v>8876961.5705399998</v>
      </c>
      <c r="N23" s="100">
        <f t="shared" si="4"/>
        <v>16787628.64852</v>
      </c>
      <c r="O23" s="100">
        <f t="shared" si="4"/>
        <v>20917526.898499999</v>
      </c>
      <c r="P23" s="100"/>
      <c r="Q23" s="102">
        <f>SUM(D23:O23)</f>
        <v>125670758.10058001</v>
      </c>
    </row>
    <row r="24" spans="1:17" ht="26.25" x14ac:dyDescent="0.25">
      <c r="A24" s="56">
        <v>13</v>
      </c>
      <c r="B24" s="103" t="s">
        <v>147</v>
      </c>
      <c r="C24" s="56" t="str">
        <f>"("&amp;A12&amp;") - ("&amp;A16&amp;")"</f>
        <v>(3) - (7)</v>
      </c>
      <c r="D24" s="104">
        <v>11069164.310629999</v>
      </c>
      <c r="E24" s="104">
        <v>9201681.0988299996</v>
      </c>
      <c r="F24" s="104">
        <v>8457284.0481899995</v>
      </c>
      <c r="G24" s="134">
        <f>G12-G16</f>
        <v>5099098.2451499999</v>
      </c>
      <c r="H24" s="105">
        <f t="shared" ref="H24:O25" si="5">H12-H16</f>
        <v>3683872.3976899995</v>
      </c>
      <c r="I24" s="105">
        <f t="shared" si="5"/>
        <v>2922765.8951799995</v>
      </c>
      <c r="J24" s="105">
        <f t="shared" si="5"/>
        <v>2692395.7870799997</v>
      </c>
      <c r="K24" s="105">
        <f t="shared" si="5"/>
        <v>2545129.7360400003</v>
      </c>
      <c r="L24" s="105">
        <f t="shared" si="5"/>
        <v>2728149.9391299998</v>
      </c>
      <c r="M24" s="105">
        <f t="shared" si="5"/>
        <v>5314658.6411500005</v>
      </c>
      <c r="N24" s="105">
        <f t="shared" si="5"/>
        <v>9189474.2169499975</v>
      </c>
      <c r="O24" s="105">
        <f t="shared" si="5"/>
        <v>11483268.969900003</v>
      </c>
      <c r="P24" s="105"/>
      <c r="Q24" s="105">
        <f>SUM(D24:O24)</f>
        <v>74386943.285919994</v>
      </c>
    </row>
    <row r="25" spans="1:17" ht="27" customHeight="1" x14ac:dyDescent="0.25">
      <c r="A25" s="135">
        <v>14</v>
      </c>
      <c r="B25" s="139" t="s">
        <v>148</v>
      </c>
      <c r="C25" s="135" t="str">
        <f>"("&amp;A13&amp;") - ("&amp;A17&amp;")"</f>
        <v>(4) - (8)</v>
      </c>
      <c r="D25" s="136">
        <v>1611950.5</v>
      </c>
      <c r="E25" s="136">
        <v>1607723.5</v>
      </c>
      <c r="F25" s="136">
        <v>1613622.5</v>
      </c>
      <c r="G25" s="137">
        <f>G13-G17</f>
        <v>1572715.5</v>
      </c>
      <c r="H25" s="138">
        <f t="shared" si="5"/>
        <v>1568085.84</v>
      </c>
      <c r="I25" s="138">
        <f t="shared" si="5"/>
        <v>1581353.5</v>
      </c>
      <c r="J25" s="138">
        <f t="shared" si="5"/>
        <v>1577522.5</v>
      </c>
      <c r="K25" s="138">
        <f t="shared" si="5"/>
        <v>1573922</v>
      </c>
      <c r="L25" s="138">
        <f t="shared" si="5"/>
        <v>1577649.94</v>
      </c>
      <c r="M25" s="138">
        <f t="shared" si="5"/>
        <v>1575402</v>
      </c>
      <c r="N25" s="138">
        <f t="shared" si="5"/>
        <v>1571296.94</v>
      </c>
      <c r="O25" s="138">
        <f t="shared" si="5"/>
        <v>1573371</v>
      </c>
      <c r="P25" s="138"/>
      <c r="Q25" s="138">
        <f>SUM(D25:O25)</f>
        <v>19004615.719999999</v>
      </c>
    </row>
    <row r="26" spans="1:17" x14ac:dyDescent="0.25">
      <c r="A26" s="56">
        <v>15</v>
      </c>
      <c r="B26" s="55" t="s">
        <v>119</v>
      </c>
      <c r="C26" s="56" t="str">
        <f>"("&amp;A24&amp;") - ("&amp;A25&amp;")"</f>
        <v>(13) - (14)</v>
      </c>
      <c r="D26" s="101">
        <f>D24-D25</f>
        <v>9457213.8106299993</v>
      </c>
      <c r="E26" s="101">
        <f t="shared" ref="E26:O26" si="6">E24-E25</f>
        <v>7593957.5988299996</v>
      </c>
      <c r="F26" s="101">
        <f t="shared" si="6"/>
        <v>6843661.5481899995</v>
      </c>
      <c r="G26" s="127">
        <f t="shared" si="6"/>
        <v>3526382.7451499999</v>
      </c>
      <c r="H26" s="115">
        <f t="shared" si="6"/>
        <v>2115786.5576899992</v>
      </c>
      <c r="I26" s="101">
        <f t="shared" si="6"/>
        <v>1341412.3951799995</v>
      </c>
      <c r="J26" s="101">
        <f t="shared" si="6"/>
        <v>1114873.2870799997</v>
      </c>
      <c r="K26" s="101">
        <f t="shared" si="6"/>
        <v>971207.73604000034</v>
      </c>
      <c r="L26" s="101">
        <f t="shared" si="6"/>
        <v>1150499.9991299999</v>
      </c>
      <c r="M26" s="101">
        <f t="shared" si="6"/>
        <v>3739256.6411500005</v>
      </c>
      <c r="N26" s="101">
        <f t="shared" si="6"/>
        <v>7618177.276949998</v>
      </c>
      <c r="O26" s="101">
        <f t="shared" si="6"/>
        <v>9909897.9699000027</v>
      </c>
      <c r="P26" s="101"/>
      <c r="Q26" s="101">
        <f>SUM(D26:O26)</f>
        <v>55382327.565920003</v>
      </c>
    </row>
    <row r="27" spans="1:17" x14ac:dyDescent="0.25">
      <c r="A27" s="56">
        <v>16</v>
      </c>
      <c r="B27" s="111" t="s">
        <v>120</v>
      </c>
      <c r="C27" s="56" t="str">
        <f>"("&amp;A26&amp;") / ("&amp;A19&amp;")"</f>
        <v>(15) / (9)</v>
      </c>
      <c r="D27" s="106">
        <f>D26/D19</f>
        <v>56.37044871597255</v>
      </c>
      <c r="E27" s="106">
        <f t="shared" ref="E27:L27" si="7">E26/E19</f>
        <v>45.346535687039079</v>
      </c>
      <c r="F27" s="106">
        <f t="shared" si="7"/>
        <v>40.799222297543814</v>
      </c>
      <c r="G27" s="128">
        <f t="shared" si="7"/>
        <v>21.545951225346432</v>
      </c>
      <c r="H27" s="116">
        <f t="shared" si="7"/>
        <v>12.980843089519176</v>
      </c>
      <c r="I27" s="106">
        <f t="shared" si="7"/>
        <v>8.1963362775265765</v>
      </c>
      <c r="J27" s="106">
        <f t="shared" si="7"/>
        <v>6.8286953386866571</v>
      </c>
      <c r="K27" s="106">
        <f t="shared" si="7"/>
        <v>5.9623533429922055</v>
      </c>
      <c r="L27" s="106">
        <f t="shared" si="7"/>
        <v>7.0349761473034116</v>
      </c>
      <c r="M27" s="106">
        <f>M26/M19</f>
        <v>22.882807196360055</v>
      </c>
      <c r="N27" s="106">
        <f>N26/N19</f>
        <v>46.659137009487168</v>
      </c>
      <c r="O27" s="106">
        <f>O26/O19</f>
        <v>60.525483689099822</v>
      </c>
      <c r="P27" s="106"/>
      <c r="Q27" s="106"/>
    </row>
    <row r="28" spans="1:17" x14ac:dyDescent="0.25">
      <c r="A28" s="56">
        <v>17</v>
      </c>
      <c r="B28" s="55" t="s">
        <v>121</v>
      </c>
      <c r="C28" s="56" t="str">
        <f>"("&amp;A$23&amp;") - ("&amp;A26&amp;")"</f>
        <v>(12) - (15)</v>
      </c>
      <c r="D28" s="101">
        <f>D21-D26</f>
        <v>-128150.48218012974</v>
      </c>
      <c r="E28" s="101">
        <f t="shared" ref="E28:O28" si="8">E21-E26</f>
        <v>-181437.22447195277</v>
      </c>
      <c r="F28" s="101">
        <f t="shared" si="8"/>
        <v>-793272.3422520766</v>
      </c>
      <c r="G28" s="127">
        <f t="shared" si="8"/>
        <v>979144.12242862955</v>
      </c>
      <c r="H28" s="101">
        <f t="shared" si="8"/>
        <v>536764.47151814075</v>
      </c>
      <c r="I28" s="101">
        <f t="shared" si="8"/>
        <v>85185.348275508033</v>
      </c>
      <c r="J28" s="101">
        <f t="shared" si="8"/>
        <v>-57158.35277273017</v>
      </c>
      <c r="K28" s="101">
        <f t="shared" si="8"/>
        <v>47163.912239429541</v>
      </c>
      <c r="L28" s="101">
        <f t="shared" si="8"/>
        <v>270650.55207325821</v>
      </c>
      <c r="M28" s="101">
        <f t="shared" si="8"/>
        <v>211626.04284432717</v>
      </c>
      <c r="N28" s="101">
        <f t="shared" si="8"/>
        <v>-263020.67139834724</v>
      </c>
      <c r="O28" s="101">
        <f t="shared" si="8"/>
        <v>510983.548895685</v>
      </c>
      <c r="P28" s="101"/>
      <c r="Q28" s="164">
        <f t="shared" ref="Q28:Q31" si="9">SUM(D28:O28)</f>
        <v>1218478.9251997417</v>
      </c>
    </row>
    <row r="29" spans="1:17" x14ac:dyDescent="0.25">
      <c r="A29" s="56">
        <v>18</v>
      </c>
      <c r="B29" s="55" t="s">
        <v>122</v>
      </c>
      <c r="C29" s="56" t="s">
        <v>123</v>
      </c>
      <c r="D29" s="101">
        <f>D28*-'Pg 6 UG-170486 Auth-4'!$E$20</f>
        <v>5954.5121544997273</v>
      </c>
      <c r="E29" s="101">
        <f>E28*-'Pg 6 UG-170486 Auth-4'!$E$20</f>
        <v>8430.4806350892832</v>
      </c>
      <c r="F29" s="101">
        <f>F28*-'Pg 6 UG-170486 Auth-4'!$E$20</f>
        <v>36859.399382742733</v>
      </c>
      <c r="G29" s="127">
        <f>G28*-'Pg 10 UG-190335 Auth-4'!$E$20</f>
        <v>-43234.108725836137</v>
      </c>
      <c r="H29" s="101">
        <f>H28*-'Pg 10 UG-190335 Auth-4'!$E$20</f>
        <v>-23700.835239883505</v>
      </c>
      <c r="I29" s="101">
        <f>I28*-'Pg 10 UG-190335 Auth-4'!$E$20</f>
        <v>-3761.3590531050572</v>
      </c>
      <c r="J29" s="101">
        <f>J28*-'Pg 10 UG-190335 Auth-4'!$E$20</f>
        <v>2523.8270666799008</v>
      </c>
      <c r="K29" s="101">
        <f>K28*-'Pg 10 UG-190335 Auth-4'!$E$20</f>
        <v>-2082.5225449320114</v>
      </c>
      <c r="L29" s="101">
        <f>L28*-'Pg 10 UG-190335 Auth-4'!$E$20</f>
        <v>-11950.575126794716</v>
      </c>
      <c r="M29" s="101">
        <f>M28*-'Pg 10 UG-190335 Auth-4'!$E$20</f>
        <v>-9344.3479217912663</v>
      </c>
      <c r="N29" s="101">
        <f>N28*-'Pg 10 UG-190335 Auth-4'!$E$20</f>
        <v>11613.677745594023</v>
      </c>
      <c r="O29" s="101">
        <f>O28*-'Pg 10 UG-190335 Auth-4'!$E$20</f>
        <v>-22562.478601488972</v>
      </c>
      <c r="P29" s="101"/>
      <c r="Q29" s="164">
        <f t="shared" si="9"/>
        <v>-51254.33022922599</v>
      </c>
    </row>
    <row r="30" spans="1:17" x14ac:dyDescent="0.25">
      <c r="A30" s="56">
        <v>19</v>
      </c>
      <c r="B30" s="55"/>
      <c r="C30" s="56" t="s">
        <v>124</v>
      </c>
      <c r="D30" s="161">
        <v>4.9599999999999998E-2</v>
      </c>
      <c r="E30" s="161">
        <f>D30</f>
        <v>4.9599999999999998E-2</v>
      </c>
      <c r="F30" s="161">
        <f>E30</f>
        <v>4.9599999999999998E-2</v>
      </c>
      <c r="G30" s="162">
        <v>4.7500000000000001E-2</v>
      </c>
      <c r="H30" s="163">
        <f>G30</f>
        <v>4.7500000000000001E-2</v>
      </c>
      <c r="I30" s="163">
        <f>H30</f>
        <v>4.7500000000000001E-2</v>
      </c>
      <c r="J30" s="161">
        <v>3.4299999999999997E-2</v>
      </c>
      <c r="K30" s="161">
        <v>3.4299999999999997E-2</v>
      </c>
      <c r="L30" s="161">
        <f>K30</f>
        <v>3.4299999999999997E-2</v>
      </c>
      <c r="M30" s="161">
        <v>3.2500000000000001E-2</v>
      </c>
      <c r="N30" s="161">
        <f>IF(N10&gt;0,M30,0)</f>
        <v>3.2500000000000001E-2</v>
      </c>
      <c r="O30" s="161">
        <f>IF(O10&gt;0,N30,0)</f>
        <v>3.2500000000000001E-2</v>
      </c>
      <c r="P30" s="161"/>
      <c r="Q30" s="164"/>
    </row>
    <row r="31" spans="1:17" x14ac:dyDescent="0.25">
      <c r="A31" s="56">
        <v>20</v>
      </c>
      <c r="B31" s="55" t="s">
        <v>125</v>
      </c>
      <c r="C31" s="56" t="s">
        <v>126</v>
      </c>
      <c r="D31" s="107">
        <f>(D28+D29)/2*D30/12</f>
        <v>-252.5383380529687</v>
      </c>
      <c r="E31" s="107">
        <f>(D33+(E28+E29)/2)*E30/12</f>
        <v>-863.66777183274087</v>
      </c>
      <c r="F31" s="107">
        <f t="shared" ref="F31:O31" si="10">(E33+(F28+F29)/2)*F30/12</f>
        <v>-2788.0382844824576</v>
      </c>
      <c r="G31" s="129">
        <f t="shared" si="10"/>
        <v>-2325.7777065044115</v>
      </c>
      <c r="H31" s="117">
        <f t="shared" si="10"/>
        <v>532.7764389948378</v>
      </c>
      <c r="I31" s="107">
        <f t="shared" si="10"/>
        <v>1711.4754378692489</v>
      </c>
      <c r="J31" s="107">
        <f t="shared" si="10"/>
        <v>1279.0439970195441</v>
      </c>
      <c r="K31" s="107">
        <f t="shared" si="10"/>
        <v>1269.0469075611809</v>
      </c>
      <c r="L31" s="107">
        <f t="shared" si="10"/>
        <v>1706.8284697963334</v>
      </c>
      <c r="M31" s="107">
        <f t="shared" si="10"/>
        <v>2246.1259708825537</v>
      </c>
      <c r="N31" s="107">
        <f t="shared" si="10"/>
        <v>2185.6853866898582</v>
      </c>
      <c r="O31" s="107">
        <f t="shared" si="10"/>
        <v>2512.5615133974302</v>
      </c>
      <c r="P31" s="107"/>
      <c r="Q31" s="164">
        <f t="shared" si="9"/>
        <v>7213.5220213384091</v>
      </c>
    </row>
    <row r="32" spans="1:17" ht="15.75" thickBot="1" x14ac:dyDescent="0.3">
      <c r="A32" s="56">
        <v>21</v>
      </c>
      <c r="B32" s="93" t="s">
        <v>127</v>
      </c>
      <c r="C32" s="56"/>
      <c r="D32" s="108">
        <f>D28+D29+D31</f>
        <v>-122448.50836368298</v>
      </c>
      <c r="E32" s="108">
        <f t="shared" ref="E32:O32" si="11">E28+E29+E31</f>
        <v>-173870.41160869622</v>
      </c>
      <c r="F32" s="108">
        <f t="shared" si="11"/>
        <v>-759200.98115381633</v>
      </c>
      <c r="G32" s="130">
        <f t="shared" si="11"/>
        <v>933584.23599628895</v>
      </c>
      <c r="H32" s="108">
        <f t="shared" si="11"/>
        <v>513596.4127172521</v>
      </c>
      <c r="I32" s="108">
        <f t="shared" si="11"/>
        <v>83135.46466027222</v>
      </c>
      <c r="J32" s="108">
        <f t="shared" si="11"/>
        <v>-53355.481709030726</v>
      </c>
      <c r="K32" s="108">
        <f t="shared" si="11"/>
        <v>46350.436602058711</v>
      </c>
      <c r="L32" s="108">
        <f t="shared" si="11"/>
        <v>260406.80541625983</v>
      </c>
      <c r="M32" s="108">
        <f t="shared" si="11"/>
        <v>204527.82089341848</v>
      </c>
      <c r="N32" s="108">
        <f t="shared" si="11"/>
        <v>-249221.30826606337</v>
      </c>
      <c r="O32" s="108">
        <f t="shared" si="11"/>
        <v>490933.63180759345</v>
      </c>
      <c r="P32" s="108"/>
      <c r="Q32" s="108">
        <f>SUM(D32:O32)</f>
        <v>1174438.116991854</v>
      </c>
    </row>
    <row r="33" spans="1:17" ht="15.75" thickBot="1" x14ac:dyDescent="0.3">
      <c r="A33" s="56">
        <v>22</v>
      </c>
      <c r="B33" s="55" t="s">
        <v>128</v>
      </c>
      <c r="C33" s="56" t="str">
        <f>"Σ(("&amp;A28&amp;") ,("&amp;A29&amp;") , ("&amp;A31&amp;"))"</f>
        <v>Σ((17) ,(18) , (20))</v>
      </c>
      <c r="D33" s="101">
        <f>D28+D29+D31</f>
        <v>-122448.50836368298</v>
      </c>
      <c r="E33" s="101">
        <f>D33+E28+E29+E31</f>
        <v>-296318.91997237923</v>
      </c>
      <c r="F33" s="101">
        <f t="shared" ref="F33:N33" si="12">E33+F28+F29+F31</f>
        <v>-1055519.9011261954</v>
      </c>
      <c r="G33" s="127">
        <f t="shared" si="12"/>
        <v>-121935.66512990644</v>
      </c>
      <c r="H33" s="115">
        <f t="shared" si="12"/>
        <v>391660.74758734566</v>
      </c>
      <c r="I33" s="101">
        <f t="shared" si="12"/>
        <v>474796.21224761789</v>
      </c>
      <c r="J33" s="101">
        <f t="shared" si="12"/>
        <v>421440.73053858714</v>
      </c>
      <c r="K33" s="101">
        <f t="shared" si="12"/>
        <v>467791.16714064585</v>
      </c>
      <c r="L33" s="101">
        <f t="shared" si="12"/>
        <v>728197.9725569057</v>
      </c>
      <c r="M33" s="101">
        <f t="shared" si="12"/>
        <v>932725.79345032421</v>
      </c>
      <c r="N33" s="101">
        <f t="shared" si="12"/>
        <v>683504.48518426088</v>
      </c>
      <c r="O33" s="109">
        <f>N33+O28+O29+O31</f>
        <v>1174438.1169918543</v>
      </c>
      <c r="P33" s="150"/>
      <c r="Q33" s="154"/>
    </row>
    <row r="34" spans="1:17" ht="27.75" customHeight="1" x14ac:dyDescent="0.25">
      <c r="A34" s="56"/>
      <c r="B34" s="168" t="s">
        <v>174</v>
      </c>
      <c r="C34" s="168"/>
      <c r="D34" s="168"/>
      <c r="E34" s="168"/>
      <c r="F34" s="168"/>
      <c r="G34" s="168"/>
      <c r="H34" s="168"/>
      <c r="I34" s="168"/>
      <c r="J34" s="168"/>
      <c r="K34" s="168"/>
      <c r="L34" s="168"/>
      <c r="M34" s="168"/>
      <c r="N34" s="168"/>
      <c r="O34" s="168"/>
      <c r="P34" s="168"/>
      <c r="Q34" s="142"/>
    </row>
  </sheetData>
  <mergeCells count="4">
    <mergeCell ref="A1:O1"/>
    <mergeCell ref="A2:O2"/>
    <mergeCell ref="A3:O3"/>
    <mergeCell ref="B34:P34"/>
  </mergeCells>
  <pageMargins left="0.7" right="0.7" top="0.75" bottom="0.75" header="0.3" footer="0.3"/>
  <pageSetup scale="49"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5D8E5-409E-48D2-BAC2-6B10FB3A286E}">
  <sheetPr>
    <pageSetUpPr fitToPage="1"/>
  </sheetPr>
  <dimension ref="A1:P30"/>
  <sheetViews>
    <sheetView view="pageBreakPreview" zoomScale="60" zoomScaleNormal="100" workbookViewId="0">
      <selection activeCell="N33" sqref="N33"/>
    </sheetView>
  </sheetViews>
  <sheetFormatPr defaultRowHeight="15" x14ac:dyDescent="0.25"/>
  <cols>
    <col min="1" max="1" width="5.7109375" customWidth="1"/>
    <col min="2" max="2" width="42.7109375" bestFit="1" customWidth="1"/>
    <col min="3" max="3" width="18.28515625" bestFit="1" customWidth="1"/>
    <col min="4" max="4" width="13.42578125" bestFit="1" customWidth="1"/>
    <col min="5" max="6" width="13" bestFit="1" customWidth="1"/>
    <col min="7" max="7" width="11.85546875" bestFit="1" customWidth="1"/>
    <col min="8" max="10" width="12.28515625" bestFit="1" customWidth="1"/>
    <col min="11" max="11" width="11.85546875" bestFit="1" customWidth="1"/>
    <col min="12" max="12" width="12.28515625" bestFit="1" customWidth="1"/>
    <col min="13" max="13" width="11.85546875" bestFit="1" customWidth="1"/>
    <col min="14" max="14" width="13" bestFit="1" customWidth="1"/>
    <col min="15" max="15" width="13.42578125" bestFit="1" customWidth="1"/>
    <col min="16" max="16" width="12.5703125" bestFit="1" customWidth="1"/>
  </cols>
  <sheetData>
    <row r="1" spans="1:16" ht="18.75" x14ac:dyDescent="0.3">
      <c r="A1" s="174" t="s">
        <v>0</v>
      </c>
      <c r="B1" s="174"/>
      <c r="C1" s="174"/>
      <c r="D1" s="174"/>
      <c r="E1" s="174"/>
      <c r="F1" s="174"/>
      <c r="G1" s="174"/>
      <c r="H1" s="174"/>
      <c r="I1" s="174"/>
      <c r="J1" s="174"/>
      <c r="K1" s="174"/>
      <c r="L1" s="174"/>
      <c r="M1" s="174"/>
      <c r="N1" s="174"/>
      <c r="O1" s="174"/>
      <c r="P1" s="174"/>
    </row>
    <row r="2" spans="1:16" ht="18.75" x14ac:dyDescent="0.3">
      <c r="A2" s="174" t="str">
        <f>'Pg 7 UG-190335 Auth-1'!A2</f>
        <v>Natural Gas Decoupling Mechanism</v>
      </c>
      <c r="B2" s="174"/>
      <c r="C2" s="174"/>
      <c r="D2" s="174"/>
      <c r="E2" s="174"/>
      <c r="F2" s="174"/>
      <c r="G2" s="174"/>
      <c r="H2" s="174"/>
      <c r="I2" s="174"/>
      <c r="J2" s="174"/>
      <c r="K2" s="174"/>
      <c r="L2" s="174"/>
      <c r="M2" s="174"/>
      <c r="N2" s="174"/>
      <c r="O2" s="174"/>
      <c r="P2" s="174"/>
    </row>
    <row r="3" spans="1:16" ht="18.75" x14ac:dyDescent="0.3">
      <c r="A3" s="175" t="s">
        <v>60</v>
      </c>
      <c r="B3" s="175"/>
      <c r="C3" s="175"/>
      <c r="D3" s="175"/>
      <c r="E3" s="175"/>
      <c r="F3" s="175"/>
      <c r="G3" s="175"/>
      <c r="H3" s="175"/>
      <c r="I3" s="175"/>
      <c r="J3" s="175"/>
      <c r="K3" s="175"/>
      <c r="L3" s="175"/>
      <c r="M3" s="175"/>
      <c r="N3" s="175"/>
      <c r="O3" s="175"/>
      <c r="P3" s="175"/>
    </row>
    <row r="4" spans="1:16" ht="18.75" x14ac:dyDescent="0.3">
      <c r="A4" s="174" t="str">
        <f>'Pg 7 UG-190335 Auth-1'!A4</f>
        <v>Washington Docket No. UG-190335  2018 Compliance Filing</v>
      </c>
      <c r="B4" s="174"/>
      <c r="C4" s="174"/>
      <c r="D4" s="174"/>
      <c r="E4" s="174"/>
      <c r="F4" s="174"/>
      <c r="G4" s="174"/>
      <c r="H4" s="174"/>
      <c r="I4" s="174"/>
      <c r="J4" s="174"/>
      <c r="K4" s="174"/>
      <c r="L4" s="174"/>
      <c r="M4" s="174"/>
      <c r="N4" s="174"/>
      <c r="O4" s="174"/>
      <c r="P4" s="174"/>
    </row>
    <row r="5" spans="1:16" x14ac:dyDescent="0.25">
      <c r="A5" s="55"/>
      <c r="B5" s="55"/>
      <c r="C5" s="56"/>
      <c r="D5" s="56"/>
      <c r="E5" s="56"/>
      <c r="F5" s="56"/>
      <c r="G5" s="56"/>
      <c r="H5" s="55"/>
      <c r="I5" s="55"/>
      <c r="J5" s="55"/>
      <c r="K5" s="55"/>
      <c r="L5" s="55"/>
      <c r="M5" s="55"/>
      <c r="N5" s="55"/>
      <c r="O5" s="55"/>
      <c r="P5" s="55"/>
    </row>
    <row r="6" spans="1:16" x14ac:dyDescent="0.25">
      <c r="A6" s="57" t="s">
        <v>40</v>
      </c>
      <c r="B6" s="58"/>
      <c r="C6" s="59" t="s">
        <v>41</v>
      </c>
      <c r="D6" s="60" t="s">
        <v>61</v>
      </c>
      <c r="E6" s="60" t="s">
        <v>62</v>
      </c>
      <c r="F6" s="60" t="s">
        <v>63</v>
      </c>
      <c r="G6" s="60" t="s">
        <v>64</v>
      </c>
      <c r="H6" s="60" t="s">
        <v>65</v>
      </c>
      <c r="I6" s="60" t="s">
        <v>66</v>
      </c>
      <c r="J6" s="60" t="s">
        <v>67</v>
      </c>
      <c r="K6" s="60" t="s">
        <v>68</v>
      </c>
      <c r="L6" s="60" t="s">
        <v>69</v>
      </c>
      <c r="M6" s="60" t="s">
        <v>70</v>
      </c>
      <c r="N6" s="60" t="s">
        <v>71</v>
      </c>
      <c r="O6" s="60" t="s">
        <v>72</v>
      </c>
      <c r="P6" s="57" t="s">
        <v>10</v>
      </c>
    </row>
    <row r="7" spans="1:16" x14ac:dyDescent="0.25">
      <c r="A7" s="55"/>
      <c r="B7" s="56" t="s">
        <v>44</v>
      </c>
      <c r="C7" s="56" t="s">
        <v>45</v>
      </c>
      <c r="D7" s="56" t="s">
        <v>46</v>
      </c>
      <c r="E7" s="56" t="s">
        <v>47</v>
      </c>
      <c r="F7" s="56" t="s">
        <v>73</v>
      </c>
      <c r="G7" s="56" t="s">
        <v>74</v>
      </c>
      <c r="H7" s="56" t="s">
        <v>75</v>
      </c>
      <c r="I7" s="56" t="s">
        <v>76</v>
      </c>
      <c r="J7" s="56" t="s">
        <v>77</v>
      </c>
      <c r="K7" s="56" t="s">
        <v>78</v>
      </c>
      <c r="L7" s="56" t="s">
        <v>79</v>
      </c>
      <c r="M7" s="56" t="s">
        <v>80</v>
      </c>
      <c r="N7" s="56" t="s">
        <v>81</v>
      </c>
      <c r="O7" s="56" t="s">
        <v>82</v>
      </c>
      <c r="P7" s="56" t="s">
        <v>83</v>
      </c>
    </row>
    <row r="8" spans="1:16" x14ac:dyDescent="0.25">
      <c r="A8" s="56">
        <v>1</v>
      </c>
      <c r="B8" s="61"/>
      <c r="C8" s="56"/>
      <c r="D8" s="56"/>
      <c r="E8" s="56"/>
      <c r="F8" s="56"/>
      <c r="G8" s="56"/>
      <c r="H8" s="56"/>
      <c r="I8" s="56"/>
      <c r="J8" s="55"/>
      <c r="K8" s="55"/>
      <c r="L8" s="55"/>
      <c r="M8" s="55"/>
      <c r="N8" s="55"/>
      <c r="O8" s="55"/>
      <c r="P8" s="55"/>
    </row>
    <row r="9" spans="1:16" x14ac:dyDescent="0.25">
      <c r="A9" s="56">
        <f t="shared" ref="A9:A28" si="0">A8+1</f>
        <v>2</v>
      </c>
      <c r="B9" s="62" t="s">
        <v>84</v>
      </c>
      <c r="C9" s="56"/>
      <c r="D9" s="55"/>
      <c r="E9" s="55"/>
      <c r="F9" s="55"/>
      <c r="G9" s="55"/>
      <c r="H9" s="63"/>
      <c r="I9" s="63"/>
      <c r="J9" s="55"/>
      <c r="K9" s="55"/>
      <c r="L9" s="55"/>
      <c r="M9" s="55"/>
      <c r="N9" s="55"/>
      <c r="O9" s="55"/>
      <c r="P9" s="64"/>
    </row>
    <row r="10" spans="1:16" x14ac:dyDescent="0.25">
      <c r="A10" s="56">
        <f t="shared" si="0"/>
        <v>3</v>
      </c>
      <c r="B10" s="65" t="s">
        <v>85</v>
      </c>
      <c r="C10" s="56"/>
      <c r="D10" s="55"/>
      <c r="E10" s="55"/>
      <c r="F10" s="55"/>
      <c r="G10" s="55"/>
      <c r="H10" s="55"/>
      <c r="I10" s="55"/>
      <c r="J10" s="55"/>
      <c r="K10" s="55"/>
      <c r="L10" s="55"/>
      <c r="M10" s="55"/>
      <c r="N10" s="55"/>
      <c r="O10" s="55"/>
      <c r="P10" s="64"/>
    </row>
    <row r="11" spans="1:16" x14ac:dyDescent="0.25">
      <c r="A11" s="56">
        <f t="shared" si="0"/>
        <v>4</v>
      </c>
      <c r="B11" s="66" t="s">
        <v>86</v>
      </c>
      <c r="C11" s="56" t="s">
        <v>87</v>
      </c>
      <c r="D11" s="67">
        <v>22749974.40532</v>
      </c>
      <c r="E11" s="67">
        <v>17283079.844430003</v>
      </c>
      <c r="F11" s="67">
        <v>15602672.955779996</v>
      </c>
      <c r="G11" s="67">
        <v>9757851.2954200003</v>
      </c>
      <c r="H11" s="67">
        <v>5768556.9053499997</v>
      </c>
      <c r="I11" s="67">
        <v>3089807.1433300003</v>
      </c>
      <c r="J11" s="67">
        <v>2296430.2068100004</v>
      </c>
      <c r="K11" s="67">
        <v>2216074.0266</v>
      </c>
      <c r="L11" s="67">
        <v>3080267.8390500001</v>
      </c>
      <c r="M11" s="67">
        <v>8570191.9442299996</v>
      </c>
      <c r="N11" s="67">
        <v>15967978.47535</v>
      </c>
      <c r="O11" s="67">
        <v>22603095.04854</v>
      </c>
      <c r="P11" s="68">
        <f>SUM(D11:O11)</f>
        <v>128985980.09021002</v>
      </c>
    </row>
    <row r="12" spans="1:16" x14ac:dyDescent="0.25">
      <c r="A12" s="56">
        <f t="shared" si="0"/>
        <v>5</v>
      </c>
      <c r="B12" s="55" t="s">
        <v>88</v>
      </c>
      <c r="C12" s="69" t="s">
        <v>89</v>
      </c>
      <c r="D12" s="70">
        <f t="shared" ref="D12:O12" si="1">D11/$P11</f>
        <v>0.17637555949421135</v>
      </c>
      <c r="E12" s="70">
        <f t="shared" si="1"/>
        <v>0.13399192557472206</v>
      </c>
      <c r="F12" s="70">
        <f t="shared" si="1"/>
        <v>0.12096409970190421</v>
      </c>
      <c r="G12" s="70">
        <f t="shared" si="1"/>
        <v>7.5650479909487603E-2</v>
      </c>
      <c r="H12" s="70">
        <f t="shared" si="1"/>
        <v>4.4722355881744627E-2</v>
      </c>
      <c r="I12" s="70">
        <f t="shared" si="1"/>
        <v>2.39545967799683E-2</v>
      </c>
      <c r="J12" s="70">
        <f t="shared" si="1"/>
        <v>1.7803719483341727E-2</v>
      </c>
      <c r="K12" s="70">
        <f t="shared" si="1"/>
        <v>1.7180735650883339E-2</v>
      </c>
      <c r="L12" s="70">
        <f t="shared" si="1"/>
        <v>2.3880640647113174E-2</v>
      </c>
      <c r="M12" s="70">
        <f t="shared" si="1"/>
        <v>6.6442817570066079E-2</v>
      </c>
      <c r="N12" s="70">
        <f t="shared" si="1"/>
        <v>0.12379623323544418</v>
      </c>
      <c r="O12" s="70">
        <f t="shared" si="1"/>
        <v>0.17523683607111318</v>
      </c>
      <c r="P12" s="70">
        <f>SUM(D12:O12)</f>
        <v>0.99999999999999978</v>
      </c>
    </row>
    <row r="13" spans="1:16" x14ac:dyDescent="0.25">
      <c r="A13" s="56">
        <f t="shared" si="0"/>
        <v>6</v>
      </c>
      <c r="B13" s="55"/>
      <c r="C13" s="71"/>
      <c r="D13" s="72"/>
      <c r="E13" s="72"/>
      <c r="F13" s="72"/>
      <c r="G13" s="72"/>
      <c r="H13" s="72"/>
      <c r="I13" s="72"/>
      <c r="J13" s="72"/>
      <c r="K13" s="72"/>
      <c r="L13" s="72"/>
      <c r="M13" s="72"/>
      <c r="N13" s="72"/>
      <c r="O13" s="72"/>
      <c r="P13" s="72"/>
    </row>
    <row r="14" spans="1:16" x14ac:dyDescent="0.25">
      <c r="A14" s="56">
        <f t="shared" si="0"/>
        <v>7</v>
      </c>
      <c r="B14" s="65" t="s">
        <v>90</v>
      </c>
      <c r="C14" s="72"/>
      <c r="D14" s="72"/>
      <c r="E14" s="72"/>
      <c r="F14" s="72"/>
      <c r="G14" s="72"/>
      <c r="H14" s="72"/>
      <c r="I14" s="72"/>
      <c r="J14" s="72"/>
      <c r="K14" s="72"/>
      <c r="L14" s="72"/>
      <c r="M14" s="72"/>
      <c r="N14" s="72"/>
      <c r="O14" s="72"/>
      <c r="P14" s="72"/>
    </row>
    <row r="15" spans="1:16" x14ac:dyDescent="0.25">
      <c r="A15" s="56">
        <f t="shared" si="0"/>
        <v>8</v>
      </c>
      <c r="B15" s="66" t="s">
        <v>86</v>
      </c>
      <c r="C15" s="56" t="s">
        <v>87</v>
      </c>
      <c r="D15" s="67">
        <v>7868879.8314100001</v>
      </c>
      <c r="E15" s="67">
        <v>7414470.7568700006</v>
      </c>
      <c r="F15" s="67">
        <v>5947208.9858100004</v>
      </c>
      <c r="G15" s="67">
        <v>4624106.7723699994</v>
      </c>
      <c r="H15" s="67">
        <v>3350493.2149800006</v>
      </c>
      <c r="I15" s="67">
        <v>2437871.6305</v>
      </c>
      <c r="J15" s="67">
        <v>1760019.38356</v>
      </c>
      <c r="K15" s="67">
        <v>1925464.61497</v>
      </c>
      <c r="L15" s="67">
        <v>2291323.42368</v>
      </c>
      <c r="M15" s="67">
        <v>4176692.7944399994</v>
      </c>
      <c r="N15" s="67">
        <v>6339582.8774500005</v>
      </c>
      <c r="O15" s="67">
        <v>7748762.6948600374</v>
      </c>
      <c r="P15" s="68">
        <f>SUM(D15:O15)</f>
        <v>55884876.980900034</v>
      </c>
    </row>
    <row r="16" spans="1:16" x14ac:dyDescent="0.25">
      <c r="A16" s="56">
        <f t="shared" si="0"/>
        <v>9</v>
      </c>
      <c r="B16" s="55" t="s">
        <v>88</v>
      </c>
      <c r="C16" s="69" t="s">
        <v>89</v>
      </c>
      <c r="D16" s="73">
        <f t="shared" ref="D16:O16" si="2">D15/$P15</f>
        <v>0.14080517407418422</v>
      </c>
      <c r="E16" s="73">
        <f t="shared" si="2"/>
        <v>0.13267401052710681</v>
      </c>
      <c r="F16" s="73">
        <f t="shared" si="2"/>
        <v>0.10641893311928732</v>
      </c>
      <c r="G16" s="73">
        <f t="shared" si="2"/>
        <v>8.2743436546355756E-2</v>
      </c>
      <c r="H16" s="73">
        <f t="shared" si="2"/>
        <v>5.9953486452607029E-2</v>
      </c>
      <c r="I16" s="73">
        <f t="shared" si="2"/>
        <v>4.3623100956868881E-2</v>
      </c>
      <c r="J16" s="73">
        <f t="shared" si="2"/>
        <v>3.1493661230774968E-2</v>
      </c>
      <c r="K16" s="73">
        <f t="shared" si="2"/>
        <v>3.4454126393229291E-2</v>
      </c>
      <c r="L16" s="73">
        <f t="shared" si="2"/>
        <v>4.1000777803682262E-2</v>
      </c>
      <c r="M16" s="73">
        <f t="shared" si="2"/>
        <v>7.4737442758753533E-2</v>
      </c>
      <c r="N16" s="73">
        <f t="shared" si="2"/>
        <v>0.11344004353121689</v>
      </c>
      <c r="O16" s="73">
        <f t="shared" si="2"/>
        <v>0.1386558066059331</v>
      </c>
      <c r="P16" s="73">
        <f>SUM(D16:O16)</f>
        <v>1</v>
      </c>
    </row>
    <row r="17" spans="1:16" x14ac:dyDescent="0.25">
      <c r="A17" s="56">
        <f t="shared" si="0"/>
        <v>10</v>
      </c>
      <c r="B17" s="55"/>
      <c r="C17" s="56"/>
      <c r="D17" s="73"/>
      <c r="E17" s="64"/>
      <c r="F17" s="64"/>
      <c r="G17" s="64"/>
      <c r="H17" s="64"/>
      <c r="I17" s="64"/>
      <c r="J17" s="64"/>
      <c r="K17" s="64"/>
      <c r="L17" s="64"/>
      <c r="M17" s="64"/>
      <c r="N17" s="64"/>
      <c r="O17" s="64"/>
      <c r="P17" s="64"/>
    </row>
    <row r="18" spans="1:16" x14ac:dyDescent="0.25">
      <c r="A18" s="56">
        <f t="shared" si="0"/>
        <v>11</v>
      </c>
      <c r="B18" s="62" t="s">
        <v>91</v>
      </c>
      <c r="C18" s="56"/>
      <c r="D18" s="73"/>
      <c r="E18" s="64"/>
      <c r="F18" s="64"/>
      <c r="G18" s="64"/>
      <c r="H18" s="64"/>
      <c r="I18" s="64"/>
      <c r="J18" s="64"/>
      <c r="K18" s="64"/>
      <c r="L18" s="64"/>
      <c r="M18" s="64"/>
      <c r="N18" s="64"/>
      <c r="O18" s="64"/>
      <c r="P18" s="64"/>
    </row>
    <row r="19" spans="1:16" x14ac:dyDescent="0.25">
      <c r="A19" s="56">
        <f t="shared" si="0"/>
        <v>12</v>
      </c>
      <c r="B19" s="65" t="s">
        <v>85</v>
      </c>
      <c r="C19" s="56"/>
      <c r="D19" s="73"/>
      <c r="E19" s="55"/>
      <c r="F19" s="55"/>
      <c r="G19" s="55"/>
      <c r="H19" s="55"/>
      <c r="I19" s="55"/>
      <c r="J19" s="55"/>
      <c r="K19" s="55"/>
      <c r="L19" s="55"/>
      <c r="M19" s="55"/>
      <c r="N19" s="55"/>
      <c r="O19" s="55"/>
      <c r="P19" s="55"/>
    </row>
    <row r="20" spans="1:16" x14ac:dyDescent="0.25">
      <c r="A20" s="56">
        <f t="shared" si="0"/>
        <v>13</v>
      </c>
      <c r="B20" s="55" t="s">
        <v>155</v>
      </c>
      <c r="C20" s="56" t="s">
        <v>93</v>
      </c>
      <c r="D20" s="55"/>
      <c r="E20" s="55"/>
      <c r="F20" s="55"/>
      <c r="G20" s="55"/>
      <c r="H20" s="55"/>
      <c r="I20" s="55"/>
      <c r="J20" s="55"/>
      <c r="K20" s="55"/>
      <c r="L20" s="55"/>
      <c r="M20" s="55"/>
      <c r="N20" s="55"/>
      <c r="O20" s="55"/>
      <c r="P20" s="74">
        <f>'Pg 8 UG-190335 Auth-2'!D13</f>
        <v>363.89</v>
      </c>
    </row>
    <row r="21" spans="1:16" x14ac:dyDescent="0.25">
      <c r="A21" s="56">
        <f t="shared" si="0"/>
        <v>14</v>
      </c>
      <c r="B21" s="55" t="s">
        <v>94</v>
      </c>
      <c r="C21" s="56" t="str">
        <f>"("&amp;'Pg 7 UG-190335 Auth-1'!A$12&amp;") x ("&amp;A20&amp;")"</f>
        <v>() x (13)</v>
      </c>
      <c r="D21" s="75">
        <f t="shared" ref="D21:O21" si="3">$P20*D$12</f>
        <v>64.181302344348566</v>
      </c>
      <c r="E21" s="75">
        <f t="shared" si="3"/>
        <v>48.758321797385605</v>
      </c>
      <c r="F21" s="75">
        <f t="shared" si="3"/>
        <v>44.017626240525921</v>
      </c>
      <c r="G21" s="75">
        <f t="shared" si="3"/>
        <v>27.528453134263444</v>
      </c>
      <c r="H21" s="75">
        <f t="shared" si="3"/>
        <v>16.274018081808052</v>
      </c>
      <c r="I21" s="75">
        <f t="shared" si="3"/>
        <v>8.7168382222626644</v>
      </c>
      <c r="J21" s="75">
        <f t="shared" si="3"/>
        <v>6.4785954827932208</v>
      </c>
      <c r="K21" s="75">
        <f t="shared" si="3"/>
        <v>6.2518978959999378</v>
      </c>
      <c r="L21" s="75">
        <f t="shared" si="3"/>
        <v>8.6899263250780123</v>
      </c>
      <c r="M21" s="75">
        <f t="shared" si="3"/>
        <v>24.177876885571344</v>
      </c>
      <c r="N21" s="75">
        <f t="shared" si="3"/>
        <v>45.04821131204578</v>
      </c>
      <c r="O21" s="75">
        <f t="shared" si="3"/>
        <v>63.76693227791737</v>
      </c>
      <c r="P21" s="74">
        <f>SUM(D21:O21)</f>
        <v>363.88999999999987</v>
      </c>
    </row>
    <row r="22" spans="1:16" x14ac:dyDescent="0.25">
      <c r="A22" s="56">
        <f t="shared" si="0"/>
        <v>15</v>
      </c>
      <c r="B22" s="55"/>
      <c r="C22" s="76"/>
      <c r="D22" s="55"/>
      <c r="E22" s="55"/>
      <c r="F22" s="55"/>
      <c r="G22" s="55"/>
      <c r="H22" s="55"/>
      <c r="I22" s="55"/>
      <c r="J22" s="55"/>
      <c r="K22" s="55"/>
      <c r="L22" s="55"/>
      <c r="M22" s="55"/>
      <c r="N22" s="55"/>
      <c r="O22" s="55"/>
      <c r="P22" s="74"/>
    </row>
    <row r="23" spans="1:16" x14ac:dyDescent="0.25">
      <c r="A23" s="56">
        <f t="shared" si="0"/>
        <v>16</v>
      </c>
      <c r="B23" s="65" t="s">
        <v>90</v>
      </c>
      <c r="C23" s="76"/>
      <c r="D23" s="55"/>
      <c r="E23" s="55"/>
      <c r="F23" s="55"/>
      <c r="G23" s="55"/>
      <c r="H23" s="55"/>
      <c r="I23" s="55"/>
      <c r="J23" s="55"/>
      <c r="K23" s="55"/>
      <c r="L23" s="55"/>
      <c r="M23" s="55"/>
      <c r="N23" s="55"/>
      <c r="O23" s="55"/>
      <c r="P23" s="74"/>
    </row>
    <row r="24" spans="1:16" x14ac:dyDescent="0.25">
      <c r="A24" s="56">
        <f t="shared" si="0"/>
        <v>17</v>
      </c>
      <c r="B24" s="55" t="s">
        <v>156</v>
      </c>
      <c r="C24" s="56" t="s">
        <v>93</v>
      </c>
      <c r="D24" s="55"/>
      <c r="E24" s="55"/>
      <c r="F24" s="55"/>
      <c r="G24" s="55"/>
      <c r="H24" s="55"/>
      <c r="I24" s="55"/>
      <c r="J24" s="55"/>
      <c r="K24" s="55"/>
      <c r="L24" s="55"/>
      <c r="M24" s="55"/>
      <c r="N24" s="55"/>
      <c r="O24" s="55"/>
      <c r="P24" s="74">
        <f>'Pg 8 UG-190335 Auth-2'!E13</f>
        <v>4870.3599999999997</v>
      </c>
    </row>
    <row r="25" spans="1:16" x14ac:dyDescent="0.25">
      <c r="A25" s="56">
        <f t="shared" si="0"/>
        <v>18</v>
      </c>
      <c r="B25" s="55" t="s">
        <v>94</v>
      </c>
      <c r="C25" s="56" t="str">
        <f>"("&amp;'Pg 7 UG-190335 Auth-1'!A$16&amp;") x ("&amp;A24&amp;")"</f>
        <v>() x (17)</v>
      </c>
      <c r="D25" s="75">
        <f t="shared" ref="D25:O25" si="4">$P24*D$16</f>
        <v>685.77188760394381</v>
      </c>
      <c r="E25" s="75">
        <f t="shared" si="4"/>
        <v>646.17019391079987</v>
      </c>
      <c r="F25" s="75">
        <f t="shared" si="4"/>
        <v>518.29851510685216</v>
      </c>
      <c r="G25" s="75">
        <f t="shared" si="4"/>
        <v>402.99032361790921</v>
      </c>
      <c r="H25" s="75">
        <f t="shared" si="4"/>
        <v>291.99506227931914</v>
      </c>
      <c r="I25" s="75">
        <f t="shared" si="4"/>
        <v>212.4602059762959</v>
      </c>
      <c r="J25" s="75">
        <f t="shared" si="4"/>
        <v>153.38546791191717</v>
      </c>
      <c r="K25" s="75">
        <f t="shared" si="4"/>
        <v>167.80399902052821</v>
      </c>
      <c r="L25" s="75">
        <f t="shared" si="4"/>
        <v>199.68854818394192</v>
      </c>
      <c r="M25" s="75">
        <f t="shared" si="4"/>
        <v>363.99825171452284</v>
      </c>
      <c r="N25" s="75">
        <f t="shared" si="4"/>
        <v>552.4938504126975</v>
      </c>
      <c r="O25" s="75">
        <f t="shared" si="4"/>
        <v>675.30369426127231</v>
      </c>
      <c r="P25" s="74">
        <f>SUM(D25:O25)</f>
        <v>4870.3599999999997</v>
      </c>
    </row>
    <row r="26" spans="1:16" x14ac:dyDescent="0.25">
      <c r="A26" s="56">
        <f t="shared" si="0"/>
        <v>19</v>
      </c>
      <c r="B26" s="55"/>
      <c r="C26" s="76"/>
      <c r="D26" s="56"/>
      <c r="E26" s="56"/>
      <c r="F26" s="56"/>
      <c r="G26" s="56"/>
      <c r="H26" s="55"/>
      <c r="I26" s="55"/>
      <c r="J26" s="55"/>
      <c r="K26" s="55"/>
      <c r="L26" s="55"/>
      <c r="M26" s="55"/>
      <c r="N26" s="55"/>
      <c r="O26" s="55"/>
      <c r="P26" s="74"/>
    </row>
    <row r="27" spans="1:16" x14ac:dyDescent="0.25">
      <c r="A27" s="56">
        <f t="shared" si="0"/>
        <v>20</v>
      </c>
      <c r="B27" s="55" t="str">
        <f>'Pg 8 UG-190335 Auth-2'!B16</f>
        <v xml:space="preserve">*Rate Schedules 101, 102.  </v>
      </c>
      <c r="C27" s="76"/>
      <c r="D27" s="56"/>
      <c r="E27" s="56"/>
      <c r="F27" s="56"/>
      <c r="G27" s="56"/>
      <c r="H27" s="55"/>
      <c r="I27" s="55"/>
      <c r="J27" s="55"/>
      <c r="K27" s="55"/>
      <c r="L27" s="55"/>
      <c r="M27" s="55"/>
      <c r="N27" s="55"/>
      <c r="O27" s="55"/>
      <c r="P27" s="74"/>
    </row>
    <row r="28" spans="1:16" x14ac:dyDescent="0.25">
      <c r="A28" s="56">
        <f t="shared" si="0"/>
        <v>21</v>
      </c>
      <c r="B28" s="55" t="str">
        <f>'Pg 8 UG-190335 Auth-2'!B17</f>
        <v xml:space="preserve">**Rate Schedules 111, 112, 116, 131.  </v>
      </c>
      <c r="C28" s="56"/>
      <c r="D28" s="56"/>
      <c r="E28" s="56"/>
      <c r="F28" s="56"/>
      <c r="G28" s="56"/>
      <c r="H28" s="55"/>
      <c r="I28" s="55"/>
      <c r="J28" s="55"/>
      <c r="K28" s="55"/>
      <c r="L28" s="55"/>
      <c r="M28" s="55"/>
      <c r="N28" s="55"/>
      <c r="O28" s="55"/>
      <c r="P28" s="55"/>
    </row>
    <row r="29" spans="1:16" x14ac:dyDescent="0.25">
      <c r="A29" s="77"/>
      <c r="B29" s="77"/>
      <c r="C29" s="77"/>
      <c r="D29" s="77"/>
      <c r="E29" s="77"/>
      <c r="F29" s="77"/>
      <c r="G29" s="77"/>
      <c r="H29" s="77"/>
      <c r="I29" s="77"/>
      <c r="J29" s="77"/>
      <c r="K29" s="77"/>
      <c r="L29" s="77"/>
      <c r="M29" s="77"/>
      <c r="N29" s="77"/>
      <c r="O29" s="77"/>
      <c r="P29" s="77"/>
    </row>
    <row r="30" spans="1:16" ht="18.75" x14ac:dyDescent="0.3">
      <c r="A30" s="153" t="s">
        <v>172</v>
      </c>
    </row>
  </sheetData>
  <mergeCells count="4">
    <mergeCell ref="A4:P4"/>
    <mergeCell ref="A1:P1"/>
    <mergeCell ref="A2:P2"/>
    <mergeCell ref="A3:P3"/>
  </mergeCells>
  <pageMargins left="0.7" right="0.7" top="0.75" bottom="0.75" header="0.3" footer="0.3"/>
  <pageSetup scale="54"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51000-7FD8-496A-B37C-B819156A7CD3}">
  <sheetPr>
    <pageSetUpPr fitToPage="1"/>
  </sheetPr>
  <dimension ref="A1:E32"/>
  <sheetViews>
    <sheetView view="pageBreakPreview" zoomScale="60" zoomScaleNormal="100" workbookViewId="0">
      <selection activeCell="N33" sqref="N33"/>
    </sheetView>
  </sheetViews>
  <sheetFormatPr defaultRowHeight="15" x14ac:dyDescent="0.25"/>
  <cols>
    <col min="1" max="1" width="26.140625" bestFit="1" customWidth="1"/>
    <col min="3" max="3" width="58.7109375" bestFit="1" customWidth="1"/>
    <col min="5" max="5" width="10.42578125" bestFit="1" customWidth="1"/>
  </cols>
  <sheetData>
    <row r="1" spans="1:5" x14ac:dyDescent="0.25">
      <c r="A1" s="178" t="s">
        <v>96</v>
      </c>
      <c r="B1" s="178"/>
      <c r="C1" s="178"/>
      <c r="D1" s="178"/>
      <c r="E1" s="178"/>
    </row>
    <row r="2" spans="1:5" x14ac:dyDescent="0.25">
      <c r="A2" s="178" t="s">
        <v>97</v>
      </c>
      <c r="B2" s="178"/>
      <c r="C2" s="178"/>
      <c r="D2" s="178"/>
      <c r="E2" s="178"/>
    </row>
    <row r="3" spans="1:5" x14ac:dyDescent="0.25">
      <c r="A3" s="179" t="s">
        <v>98</v>
      </c>
      <c r="B3" s="179"/>
      <c r="C3" s="179"/>
      <c r="D3" s="179"/>
      <c r="E3" s="179"/>
    </row>
    <row r="4" spans="1:5" x14ac:dyDescent="0.25">
      <c r="A4" s="177" t="s">
        <v>137</v>
      </c>
      <c r="B4" s="177"/>
      <c r="C4" s="177"/>
      <c r="D4" s="177"/>
      <c r="E4" s="177"/>
    </row>
    <row r="5" spans="1:5" x14ac:dyDescent="0.25">
      <c r="A5" s="177"/>
      <c r="B5" s="177"/>
      <c r="C5" s="177"/>
      <c r="D5" s="177"/>
      <c r="E5" s="177"/>
    </row>
    <row r="6" spans="1:5" x14ac:dyDescent="0.25">
      <c r="A6" s="176" t="str">
        <f>'Pg 7 UG-190335 Auth-1'!A4</f>
        <v>Washington Docket No. UG-190335  2018 Compliance Filing</v>
      </c>
      <c r="B6" s="176"/>
      <c r="C6" s="176"/>
      <c r="D6" s="176"/>
      <c r="E6" s="176"/>
    </row>
    <row r="7" spans="1:5" x14ac:dyDescent="0.25">
      <c r="A7" s="78"/>
      <c r="B7" s="79"/>
      <c r="C7" s="80"/>
      <c r="D7" s="81"/>
      <c r="E7" s="82"/>
    </row>
    <row r="8" spans="1:5" x14ac:dyDescent="0.25">
      <c r="A8" s="78" t="s">
        <v>101</v>
      </c>
      <c r="B8" s="79"/>
      <c r="C8" s="78"/>
      <c r="D8" s="81"/>
      <c r="E8" s="78"/>
    </row>
    <row r="9" spans="1:5" x14ac:dyDescent="0.25">
      <c r="A9" s="83" t="s">
        <v>102</v>
      </c>
      <c r="B9" s="79"/>
      <c r="C9" s="83" t="s">
        <v>103</v>
      </c>
      <c r="D9" s="81"/>
      <c r="E9" s="83" t="s">
        <v>104</v>
      </c>
    </row>
    <row r="10" spans="1:5" x14ac:dyDescent="0.25">
      <c r="A10" s="78"/>
      <c r="B10" s="79"/>
      <c r="C10" s="81"/>
      <c r="D10" s="81"/>
      <c r="E10" s="81"/>
    </row>
    <row r="11" spans="1:5" x14ac:dyDescent="0.25">
      <c r="A11" s="84">
        <v>1</v>
      </c>
      <c r="B11" s="79"/>
      <c r="C11" s="82" t="s">
        <v>54</v>
      </c>
      <c r="D11" s="81"/>
      <c r="E11" s="81">
        <v>1</v>
      </c>
    </row>
    <row r="12" spans="1:5" x14ac:dyDescent="0.25">
      <c r="A12" s="84"/>
      <c r="B12" s="79"/>
      <c r="C12" s="82"/>
      <c r="D12" s="81"/>
      <c r="E12" s="81"/>
    </row>
    <row r="13" spans="1:5" x14ac:dyDescent="0.25">
      <c r="A13" s="84"/>
      <c r="B13" s="79"/>
      <c r="C13" s="82" t="s">
        <v>105</v>
      </c>
      <c r="D13" s="81"/>
      <c r="E13" s="81"/>
    </row>
    <row r="14" spans="1:5" x14ac:dyDescent="0.25">
      <c r="A14" s="84">
        <v>2</v>
      </c>
      <c r="B14" s="85"/>
      <c r="C14" s="81" t="s">
        <v>106</v>
      </c>
      <c r="D14" s="81"/>
      <c r="E14" s="86">
        <v>3.7810000000000001E-3</v>
      </c>
    </row>
    <row r="15" spans="1:5" x14ac:dyDescent="0.25">
      <c r="A15" s="84"/>
      <c r="B15" s="79"/>
      <c r="C15" s="81"/>
      <c r="D15" s="81"/>
      <c r="E15" s="86"/>
    </row>
    <row r="16" spans="1:5" x14ac:dyDescent="0.25">
      <c r="A16" s="84">
        <v>3</v>
      </c>
      <c r="B16" s="79"/>
      <c r="C16" s="81" t="s">
        <v>107</v>
      </c>
      <c r="D16" s="81"/>
      <c r="E16" s="87">
        <v>2E-3</v>
      </c>
    </row>
    <row r="17" spans="1:5" x14ac:dyDescent="0.25">
      <c r="A17" s="84"/>
      <c r="B17" s="79"/>
      <c r="C17" s="81"/>
      <c r="D17" s="81"/>
      <c r="E17" s="86"/>
    </row>
    <row r="18" spans="1:5" x14ac:dyDescent="0.25">
      <c r="A18" s="84">
        <v>4</v>
      </c>
      <c r="B18" s="79"/>
      <c r="C18" s="81" t="s">
        <v>108</v>
      </c>
      <c r="D18" s="81"/>
      <c r="E18" s="86">
        <v>3.8373999999999998E-2</v>
      </c>
    </row>
    <row r="19" spans="1:5" x14ac:dyDescent="0.25">
      <c r="A19" s="84"/>
      <c r="B19" s="79"/>
      <c r="C19" s="81"/>
      <c r="D19" s="81"/>
      <c r="E19" s="88"/>
    </row>
    <row r="20" spans="1:5" x14ac:dyDescent="0.25">
      <c r="A20" s="84">
        <v>6</v>
      </c>
      <c r="B20" s="79"/>
      <c r="C20" s="81" t="s">
        <v>109</v>
      </c>
      <c r="D20" s="81"/>
      <c r="E20" s="89">
        <f>SUM(E14:E18)</f>
        <v>4.4155E-2</v>
      </c>
    </row>
    <row r="21" spans="1:5" x14ac:dyDescent="0.25">
      <c r="A21" s="84"/>
      <c r="B21" s="79"/>
      <c r="C21" s="81"/>
      <c r="D21" s="81"/>
      <c r="E21" s="81"/>
    </row>
    <row r="22" spans="1:5" x14ac:dyDescent="0.25">
      <c r="A22" s="84">
        <v>7</v>
      </c>
      <c r="B22" s="79"/>
      <c r="C22" s="81" t="s">
        <v>110</v>
      </c>
      <c r="D22" s="81"/>
      <c r="E22" s="81">
        <f>E11-E20</f>
        <v>0.95584500000000006</v>
      </c>
    </row>
    <row r="23" spans="1:5" x14ac:dyDescent="0.25">
      <c r="A23" s="84"/>
      <c r="B23" s="79"/>
      <c r="C23" s="81"/>
      <c r="D23" s="81"/>
      <c r="E23" s="81"/>
    </row>
    <row r="24" spans="1:5" x14ac:dyDescent="0.25">
      <c r="A24" s="84">
        <v>8</v>
      </c>
      <c r="B24" s="79"/>
      <c r="C24" s="81" t="s">
        <v>111</v>
      </c>
      <c r="D24" s="90"/>
      <c r="E24" s="81">
        <f>E22*0.21</f>
        <v>0.20072745</v>
      </c>
    </row>
    <row r="25" spans="1:5" x14ac:dyDescent="0.25">
      <c r="A25" s="79"/>
      <c r="B25" s="79"/>
      <c r="C25" s="81"/>
      <c r="D25" s="81"/>
      <c r="E25" s="81"/>
    </row>
    <row r="26" spans="1:5" x14ac:dyDescent="0.25">
      <c r="A26" s="84">
        <v>9</v>
      </c>
      <c r="B26" s="79"/>
      <c r="C26" s="81" t="s">
        <v>97</v>
      </c>
      <c r="D26" s="81"/>
      <c r="E26" s="81">
        <f>ROUND(E22-E24,6)</f>
        <v>0.75511799999999996</v>
      </c>
    </row>
    <row r="27" spans="1:5" x14ac:dyDescent="0.25">
      <c r="A27" s="79"/>
      <c r="B27" s="79"/>
      <c r="C27" s="81"/>
      <c r="D27" s="81"/>
      <c r="E27" s="91"/>
    </row>
    <row r="28" spans="1:5" x14ac:dyDescent="0.25">
      <c r="A28" s="79"/>
      <c r="B28" s="79"/>
      <c r="C28" s="92" t="s">
        <v>112</v>
      </c>
      <c r="D28" s="81"/>
      <c r="E28" s="91"/>
    </row>
    <row r="32" spans="1:5" ht="18.75" x14ac:dyDescent="0.3">
      <c r="A32" s="153" t="s">
        <v>173</v>
      </c>
    </row>
  </sheetData>
  <mergeCells count="6">
    <mergeCell ref="A6:E6"/>
    <mergeCell ref="A1:E1"/>
    <mergeCell ref="A2:E2"/>
    <mergeCell ref="A3:E3"/>
    <mergeCell ref="A4:E4"/>
    <mergeCell ref="A5:E5"/>
  </mergeCells>
  <pageMargins left="0.7" right="0.7" top="0.75" bottom="0.75" header="0.3" footer="0.3"/>
  <pageSetup scale="7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43B91-C9C2-492B-9CAF-D8393DBC2DA0}">
  <sheetPr>
    <pageSetUpPr fitToPage="1"/>
  </sheetPr>
  <dimension ref="A1:C52"/>
  <sheetViews>
    <sheetView tabSelected="1" showWhiteSpace="0" view="pageBreakPreview" topLeftCell="A12" zoomScaleNormal="100" zoomScaleSheetLayoutView="100" workbookViewId="0">
      <selection activeCell="B28" sqref="B28"/>
    </sheetView>
  </sheetViews>
  <sheetFormatPr defaultRowHeight="15" x14ac:dyDescent="0.25"/>
  <cols>
    <col min="1" max="1" width="10.7109375" style="120" bestFit="1" customWidth="1"/>
    <col min="2" max="2" width="85.7109375" bestFit="1" customWidth="1"/>
    <col min="3" max="3" width="18" bestFit="1" customWidth="1"/>
    <col min="4" max="13" width="10.5703125" customWidth="1"/>
  </cols>
  <sheetData>
    <row r="1" spans="1:3" ht="45.75" customHeight="1" x14ac:dyDescent="0.25">
      <c r="A1" s="140" t="s">
        <v>158</v>
      </c>
      <c r="B1" s="181" t="s">
        <v>166</v>
      </c>
      <c r="C1" s="181"/>
    </row>
    <row r="2" spans="1:3" x14ac:dyDescent="0.25">
      <c r="A2" s="141"/>
      <c r="B2" s="142"/>
      <c r="C2" s="142"/>
    </row>
    <row r="3" spans="1:3" ht="90" customHeight="1" x14ac:dyDescent="0.25">
      <c r="A3" s="140" t="s">
        <v>159</v>
      </c>
      <c r="B3" s="181" t="s">
        <v>185</v>
      </c>
      <c r="C3" s="181"/>
    </row>
    <row r="4" spans="1:3" x14ac:dyDescent="0.25">
      <c r="A4" s="143"/>
      <c r="B4" s="142"/>
      <c r="C4" s="142"/>
    </row>
    <row r="5" spans="1:3" x14ac:dyDescent="0.25">
      <c r="A5" s="143"/>
      <c r="B5" s="180" t="s">
        <v>28</v>
      </c>
      <c r="C5" s="180"/>
    </row>
    <row r="6" spans="1:3" x14ac:dyDescent="0.25">
      <c r="A6" s="143"/>
      <c r="B6" s="142" t="s">
        <v>179</v>
      </c>
      <c r="C6" s="144">
        <f>AVERAGE('Pg 1 Res Nat Gas Deferral'!G19:O19)</f>
        <v>163380.77777777778</v>
      </c>
    </row>
    <row r="7" spans="1:3" x14ac:dyDescent="0.25">
      <c r="A7" s="143"/>
      <c r="B7" s="142" t="s">
        <v>180</v>
      </c>
      <c r="C7" s="145">
        <f>SUM('Pg 1 Res Nat Gas Deferral'!G20:O20)</f>
        <v>206.93274961773983</v>
      </c>
    </row>
    <row r="8" spans="1:3" x14ac:dyDescent="0.25">
      <c r="A8" s="143"/>
      <c r="B8" s="142" t="s">
        <v>186</v>
      </c>
      <c r="C8" s="146">
        <f>C6*C7</f>
        <v>33808833.580240481</v>
      </c>
    </row>
    <row r="9" spans="1:3" x14ac:dyDescent="0.25">
      <c r="A9" s="143"/>
      <c r="B9" s="142" t="s">
        <v>160</v>
      </c>
      <c r="C9" s="147">
        <f>SUM('Pg 1 Res Nat Gas Deferral'!G21:N21)</f>
        <v>23387952.063578211</v>
      </c>
    </row>
    <row r="10" spans="1:3" x14ac:dyDescent="0.25">
      <c r="A10" s="143"/>
      <c r="B10" s="142" t="s">
        <v>161</v>
      </c>
      <c r="C10" s="148">
        <f>C8-C9</f>
        <v>10420881.51666227</v>
      </c>
    </row>
    <row r="11" spans="1:3" x14ac:dyDescent="0.25">
      <c r="A11" s="143"/>
      <c r="B11" s="142"/>
      <c r="C11" s="146"/>
    </row>
    <row r="12" spans="1:3" x14ac:dyDescent="0.25">
      <c r="A12" s="143"/>
      <c r="B12" s="142" t="s">
        <v>183</v>
      </c>
      <c r="C12" s="144">
        <f>'Pg 1 Res Nat Gas Deferral'!O19</f>
        <v>163731</v>
      </c>
    </row>
    <row r="13" spans="1:3" x14ac:dyDescent="0.25">
      <c r="A13" s="143"/>
      <c r="B13" s="142" t="s">
        <v>162</v>
      </c>
      <c r="C13" s="145">
        <f>'Pg 1 Res Nat Gas Deferral'!O20</f>
        <v>63.76693227791737</v>
      </c>
    </row>
    <row r="14" spans="1:3" x14ac:dyDescent="0.25">
      <c r="A14" s="143"/>
      <c r="B14" s="142" t="s">
        <v>187</v>
      </c>
      <c r="C14" s="146">
        <f>C12*C13</f>
        <v>10440623.588795688</v>
      </c>
    </row>
    <row r="15" spans="1:3" x14ac:dyDescent="0.25">
      <c r="A15" s="143"/>
      <c r="B15" s="142"/>
      <c r="C15" s="142"/>
    </row>
    <row r="16" spans="1:3" x14ac:dyDescent="0.25">
      <c r="A16" s="143"/>
      <c r="B16" s="142" t="s">
        <v>163</v>
      </c>
      <c r="C16" s="149">
        <f>C10-C14</f>
        <v>-19742.072133418173</v>
      </c>
    </row>
    <row r="17" spans="1:3" x14ac:dyDescent="0.25">
      <c r="A17" s="143"/>
      <c r="B17" s="142"/>
      <c r="C17" s="142"/>
    </row>
    <row r="18" spans="1:3" x14ac:dyDescent="0.25">
      <c r="A18" s="143"/>
      <c r="B18" s="180" t="s">
        <v>132</v>
      </c>
      <c r="C18" s="180"/>
    </row>
    <row r="19" spans="1:3" x14ac:dyDescent="0.25">
      <c r="A19" s="143"/>
      <c r="B19" s="142" t="s">
        <v>181</v>
      </c>
      <c r="C19" s="144">
        <f>AVERAGE('Pg 2 Non-Res Nat Gas Deferral'!G18:O18)</f>
        <v>3109.5555555555557</v>
      </c>
    </row>
    <row r="20" spans="1:3" x14ac:dyDescent="0.25">
      <c r="A20" s="143"/>
      <c r="B20" s="142" t="s">
        <v>182</v>
      </c>
      <c r="C20" s="145">
        <f>SUM('Pg 2 Non-Res Nat Gas Deferral'!G19:O19)</f>
        <v>3020.1194033784041</v>
      </c>
    </row>
    <row r="21" spans="1:3" x14ac:dyDescent="0.25">
      <c r="A21" s="143"/>
      <c r="B21" s="142" t="s">
        <v>186</v>
      </c>
      <c r="C21" s="146">
        <f>C19*C20</f>
        <v>9391229.069216447</v>
      </c>
    </row>
    <row r="22" spans="1:3" x14ac:dyDescent="0.25">
      <c r="A22" s="143"/>
      <c r="B22" s="142" t="s">
        <v>164</v>
      </c>
      <c r="C22" s="147">
        <f>SUM('Pg 2 Non-Res Nat Gas Deferral'!G20:N20)</f>
        <v>7289542.6187889082</v>
      </c>
    </row>
    <row r="23" spans="1:3" x14ac:dyDescent="0.25">
      <c r="A23" s="143"/>
      <c r="B23" s="142" t="s">
        <v>161</v>
      </c>
      <c r="C23" s="148">
        <f>C21-C22</f>
        <v>2101686.4504275387</v>
      </c>
    </row>
    <row r="24" spans="1:3" x14ac:dyDescent="0.25">
      <c r="A24" s="143"/>
      <c r="B24" s="142"/>
      <c r="C24" s="146"/>
    </row>
    <row r="25" spans="1:3" x14ac:dyDescent="0.25">
      <c r="A25" s="143"/>
      <c r="B25" s="142" t="s">
        <v>184</v>
      </c>
      <c r="C25" s="144">
        <f>'Pg 2 Non-Res Nat Gas Deferral'!O18</f>
        <v>3131</v>
      </c>
    </row>
    <row r="26" spans="1:3" x14ac:dyDescent="0.25">
      <c r="A26" s="143"/>
      <c r="B26" s="142" t="s">
        <v>165</v>
      </c>
      <c r="C26" s="145">
        <f>'Pg 2 Non-Res Nat Gas Deferral'!O19</f>
        <v>675.30369426127231</v>
      </c>
    </row>
    <row r="27" spans="1:3" x14ac:dyDescent="0.25">
      <c r="A27" s="143"/>
      <c r="B27" s="142" t="s">
        <v>187</v>
      </c>
      <c r="C27" s="146">
        <f>C25*C26</f>
        <v>2114375.8667320437</v>
      </c>
    </row>
    <row r="28" spans="1:3" x14ac:dyDescent="0.25">
      <c r="A28" s="143"/>
      <c r="B28" s="142"/>
      <c r="C28" s="142"/>
    </row>
    <row r="29" spans="1:3" x14ac:dyDescent="0.25">
      <c r="A29" s="143"/>
      <c r="B29" s="142" t="s">
        <v>163</v>
      </c>
      <c r="C29" s="149">
        <f>C23-C27</f>
        <v>-12689.416304504965</v>
      </c>
    </row>
    <row r="30" spans="1:3" x14ac:dyDescent="0.25">
      <c r="A30" s="143"/>
      <c r="B30" s="142"/>
      <c r="C30" s="142"/>
    </row>
    <row r="31" spans="1:3" x14ac:dyDescent="0.25">
      <c r="A31" s="143"/>
      <c r="B31" s="142"/>
      <c r="C31" s="142"/>
    </row>
    <row r="32" spans="1:3" x14ac:dyDescent="0.25">
      <c r="A32" s="143"/>
      <c r="B32" s="142"/>
      <c r="C32" s="142"/>
    </row>
    <row r="33" spans="1:3" x14ac:dyDescent="0.25">
      <c r="A33" s="143"/>
      <c r="B33" s="142"/>
      <c r="C33" s="142"/>
    </row>
    <row r="34" spans="1:3" x14ac:dyDescent="0.25">
      <c r="A34" s="143"/>
      <c r="B34" s="142"/>
      <c r="C34" s="142"/>
    </row>
    <row r="35" spans="1:3" x14ac:dyDescent="0.25">
      <c r="A35" s="143"/>
      <c r="B35" s="142"/>
      <c r="C35" s="142"/>
    </row>
    <row r="36" spans="1:3" x14ac:dyDescent="0.25">
      <c r="A36" s="143"/>
      <c r="B36" s="142"/>
      <c r="C36" s="142"/>
    </row>
    <row r="37" spans="1:3" x14ac:dyDescent="0.25">
      <c r="A37" s="143"/>
      <c r="B37" s="142"/>
      <c r="C37" s="142"/>
    </row>
    <row r="38" spans="1:3" x14ac:dyDescent="0.25">
      <c r="A38" s="143"/>
      <c r="B38" s="142"/>
      <c r="C38" s="142"/>
    </row>
    <row r="39" spans="1:3" x14ac:dyDescent="0.25">
      <c r="A39" s="143"/>
      <c r="B39" s="142"/>
      <c r="C39" s="142"/>
    </row>
    <row r="40" spans="1:3" x14ac:dyDescent="0.25">
      <c r="A40" s="143"/>
      <c r="B40" s="142"/>
      <c r="C40" s="142"/>
    </row>
    <row r="41" spans="1:3" x14ac:dyDescent="0.25">
      <c r="A41" s="143"/>
      <c r="B41" s="142"/>
      <c r="C41" s="142"/>
    </row>
    <row r="42" spans="1:3" x14ac:dyDescent="0.25">
      <c r="A42" s="143"/>
      <c r="B42" s="142"/>
      <c r="C42" s="142"/>
    </row>
    <row r="43" spans="1:3" x14ac:dyDescent="0.25">
      <c r="A43" s="143"/>
      <c r="B43" s="142"/>
      <c r="C43" s="142"/>
    </row>
    <row r="44" spans="1:3" x14ac:dyDescent="0.25">
      <c r="A44" s="143"/>
      <c r="B44" s="142"/>
      <c r="C44" s="142"/>
    </row>
    <row r="45" spans="1:3" x14ac:dyDescent="0.25">
      <c r="A45" s="143"/>
      <c r="B45" s="142"/>
      <c r="C45" s="142"/>
    </row>
    <row r="46" spans="1:3" x14ac:dyDescent="0.25">
      <c r="A46" s="143"/>
      <c r="B46" s="142"/>
      <c r="C46" s="142"/>
    </row>
    <row r="47" spans="1:3" x14ac:dyDescent="0.25">
      <c r="A47" s="143"/>
      <c r="B47" s="142"/>
      <c r="C47" s="142"/>
    </row>
    <row r="48" spans="1:3" x14ac:dyDescent="0.25">
      <c r="A48" s="143"/>
      <c r="B48" s="142"/>
      <c r="C48" s="142"/>
    </row>
    <row r="49" spans="1:3" x14ac:dyDescent="0.25">
      <c r="A49" s="143"/>
      <c r="B49" s="142"/>
      <c r="C49" s="142"/>
    </row>
    <row r="50" spans="1:3" x14ac:dyDescent="0.25">
      <c r="A50" s="143"/>
      <c r="B50" s="142"/>
      <c r="C50" s="142"/>
    </row>
    <row r="51" spans="1:3" x14ac:dyDescent="0.25">
      <c r="A51" s="143"/>
      <c r="B51" s="142"/>
      <c r="C51" s="142"/>
    </row>
    <row r="52" spans="1:3" x14ac:dyDescent="0.25">
      <c r="A52" s="143"/>
      <c r="B52" s="142"/>
      <c r="C52" s="142"/>
    </row>
  </sheetData>
  <mergeCells count="4">
    <mergeCell ref="B1:C1"/>
    <mergeCell ref="B3:C3"/>
    <mergeCell ref="B5:C5"/>
    <mergeCell ref="B18:C18"/>
  </mergeCells>
  <pageMargins left="0.7" right="0.7" top="0.75" bottom="0.75" header="0.3" footer="0.3"/>
  <pageSetup scale="79" orientation="portrait" horizontalDpi="1200" verticalDpi="1200" r:id="rId1"/>
  <headerFooter>
    <oddFooter>&amp;L&amp;F &amp;A&amp;R&amp;P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view="pageBreakPreview" zoomScale="60" zoomScaleNormal="100" workbookViewId="0">
      <selection activeCell="E12" sqref="E12"/>
    </sheetView>
  </sheetViews>
  <sheetFormatPr defaultRowHeight="15" x14ac:dyDescent="0.25"/>
  <cols>
    <col min="1" max="1" width="9.42578125" customWidth="1"/>
    <col min="2" max="2" width="33" customWidth="1"/>
    <col min="3" max="3" width="18.5703125" customWidth="1"/>
    <col min="4" max="4" width="15.140625" bestFit="1" customWidth="1"/>
    <col min="5" max="6" width="14.42578125" bestFit="1" customWidth="1"/>
    <col min="7" max="7" width="13.28515625" bestFit="1" customWidth="1"/>
    <col min="8" max="8" width="13.42578125" customWidth="1"/>
    <col min="9" max="9" width="14" bestFit="1" customWidth="1"/>
    <col min="10" max="10" width="12.7109375" bestFit="1" customWidth="1"/>
    <col min="11" max="11" width="13.42578125" customWidth="1"/>
    <col min="12" max="12" width="14" bestFit="1" customWidth="1"/>
    <col min="13" max="13" width="14.140625" bestFit="1" customWidth="1"/>
    <col min="14" max="14" width="14" bestFit="1" customWidth="1"/>
    <col min="15" max="15" width="15.5703125" bestFit="1" customWidth="1"/>
    <col min="16" max="16" width="5.85546875" bestFit="1" customWidth="1"/>
    <col min="17" max="17" width="15" customWidth="1"/>
  </cols>
  <sheetData>
    <row r="1" spans="1:17" ht="15.75" x14ac:dyDescent="0.25">
      <c r="A1" s="165" t="s">
        <v>0</v>
      </c>
      <c r="B1" s="165"/>
      <c r="C1" s="165"/>
      <c r="D1" s="165"/>
      <c r="E1" s="165"/>
      <c r="F1" s="165"/>
      <c r="G1" s="165"/>
      <c r="H1" s="165"/>
      <c r="I1" s="165"/>
      <c r="J1" s="165"/>
      <c r="K1" s="165"/>
      <c r="L1" s="165"/>
      <c r="M1" s="165"/>
      <c r="N1" s="165"/>
      <c r="O1" s="165"/>
      <c r="P1" s="151"/>
      <c r="Q1" s="154"/>
    </row>
    <row r="2" spans="1:17" ht="42" customHeight="1" x14ac:dyDescent="0.25">
      <c r="A2" s="166" t="s">
        <v>143</v>
      </c>
      <c r="B2" s="165"/>
      <c r="C2" s="165"/>
      <c r="D2" s="165"/>
      <c r="E2" s="165"/>
      <c r="F2" s="165"/>
      <c r="G2" s="165"/>
      <c r="H2" s="165"/>
      <c r="I2" s="165"/>
      <c r="J2" s="165"/>
      <c r="K2" s="165"/>
      <c r="L2" s="165"/>
      <c r="M2" s="165"/>
      <c r="N2" s="165"/>
      <c r="O2" s="165"/>
      <c r="P2" s="151"/>
      <c r="Q2" s="154"/>
    </row>
    <row r="3" spans="1:17" ht="15.75" customHeight="1" x14ac:dyDescent="0.25">
      <c r="A3" s="167" t="s">
        <v>133</v>
      </c>
      <c r="B3" s="165"/>
      <c r="C3" s="165"/>
      <c r="D3" s="165"/>
      <c r="E3" s="165"/>
      <c r="F3" s="165"/>
      <c r="G3" s="165"/>
      <c r="H3" s="165"/>
      <c r="I3" s="165"/>
      <c r="J3" s="165"/>
      <c r="K3" s="165"/>
      <c r="L3" s="165"/>
      <c r="M3" s="165"/>
      <c r="N3" s="165"/>
      <c r="O3" s="165"/>
      <c r="P3" s="151"/>
      <c r="Q3" s="154"/>
    </row>
    <row r="4" spans="1:17" ht="15" customHeight="1" x14ac:dyDescent="0.25">
      <c r="A4" s="152"/>
      <c r="B4" s="151"/>
      <c r="C4" s="151"/>
      <c r="D4" s="56"/>
      <c r="E4" s="151"/>
      <c r="F4" s="151"/>
      <c r="G4" s="151"/>
      <c r="H4" s="151"/>
      <c r="I4" s="151"/>
      <c r="J4" s="151"/>
      <c r="K4" s="151"/>
      <c r="L4" s="151"/>
      <c r="M4" s="151"/>
      <c r="N4" s="151"/>
      <c r="O4" s="151"/>
      <c r="P4" s="151"/>
      <c r="Q4" s="154"/>
    </row>
    <row r="5" spans="1:17" x14ac:dyDescent="0.25">
      <c r="A5" s="55"/>
      <c r="B5" s="55"/>
      <c r="C5" s="55"/>
      <c r="D5" s="56"/>
      <c r="E5" s="93"/>
      <c r="F5" s="93"/>
      <c r="G5" s="93"/>
      <c r="H5" s="113"/>
      <c r="I5" s="93"/>
      <c r="J5" s="93"/>
      <c r="K5" s="93"/>
      <c r="L5" s="93"/>
      <c r="M5" s="93"/>
      <c r="N5" s="93"/>
      <c r="O5" s="93"/>
      <c r="P5" s="93"/>
      <c r="Q5" s="154"/>
    </row>
    <row r="6" spans="1:17" x14ac:dyDescent="0.25">
      <c r="A6" s="94" t="s">
        <v>40</v>
      </c>
      <c r="B6" s="95"/>
      <c r="C6" s="96" t="s">
        <v>41</v>
      </c>
      <c r="D6" s="97">
        <v>43831</v>
      </c>
      <c r="E6" s="97">
        <f t="shared" ref="E6:O6" si="0">EDATE(D6,1)</f>
        <v>43862</v>
      </c>
      <c r="F6" s="97">
        <f t="shared" si="0"/>
        <v>43891</v>
      </c>
      <c r="G6" s="123">
        <f t="shared" si="0"/>
        <v>43922</v>
      </c>
      <c r="H6" s="97">
        <f t="shared" si="0"/>
        <v>43952</v>
      </c>
      <c r="I6" s="97">
        <f t="shared" si="0"/>
        <v>43983</v>
      </c>
      <c r="J6" s="97">
        <f t="shared" si="0"/>
        <v>44013</v>
      </c>
      <c r="K6" s="97">
        <f t="shared" si="0"/>
        <v>44044</v>
      </c>
      <c r="L6" s="97">
        <f t="shared" si="0"/>
        <v>44075</v>
      </c>
      <c r="M6" s="97">
        <f t="shared" si="0"/>
        <v>44105</v>
      </c>
      <c r="N6" s="97">
        <f t="shared" si="0"/>
        <v>44136</v>
      </c>
      <c r="O6" s="97">
        <f t="shared" si="0"/>
        <v>44166</v>
      </c>
      <c r="P6" s="97"/>
      <c r="Q6" s="97" t="s">
        <v>58</v>
      </c>
    </row>
    <row r="7" spans="1:17" ht="16.899999999999999" customHeight="1" x14ac:dyDescent="0.25">
      <c r="A7" s="56"/>
      <c r="B7" s="56" t="s">
        <v>44</v>
      </c>
      <c r="C7" s="56" t="s">
        <v>45</v>
      </c>
      <c r="D7" s="56" t="s">
        <v>46</v>
      </c>
      <c r="E7" s="56" t="s">
        <v>47</v>
      </c>
      <c r="F7" s="56" t="s">
        <v>73</v>
      </c>
      <c r="G7" s="124" t="s">
        <v>74</v>
      </c>
      <c r="H7" s="114" t="s">
        <v>75</v>
      </c>
      <c r="I7" s="56" t="s">
        <v>76</v>
      </c>
      <c r="J7" s="56" t="s">
        <v>77</v>
      </c>
      <c r="K7" s="56" t="s">
        <v>78</v>
      </c>
      <c r="L7" s="56" t="s">
        <v>79</v>
      </c>
      <c r="M7" s="56" t="s">
        <v>80</v>
      </c>
      <c r="N7" s="56" t="s">
        <v>81</v>
      </c>
      <c r="O7" s="56" t="s">
        <v>82</v>
      </c>
      <c r="P7" s="56"/>
      <c r="Q7" s="56" t="s">
        <v>83</v>
      </c>
    </row>
    <row r="8" spans="1:17" x14ac:dyDescent="0.25">
      <c r="A8" s="56"/>
      <c r="B8" s="98" t="s">
        <v>29</v>
      </c>
      <c r="C8" s="56"/>
      <c r="D8" s="56"/>
      <c r="E8" s="56"/>
      <c r="F8" s="56"/>
      <c r="G8" s="124"/>
      <c r="H8" s="114"/>
      <c r="I8" s="56"/>
      <c r="J8" s="56"/>
      <c r="K8" s="56"/>
      <c r="L8" s="56"/>
      <c r="M8" s="56"/>
      <c r="N8" s="56"/>
      <c r="O8" s="56"/>
      <c r="P8" s="56"/>
      <c r="Q8" s="154"/>
    </row>
    <row r="9" spans="1:17" x14ac:dyDescent="0.25">
      <c r="A9" s="56">
        <v>23</v>
      </c>
      <c r="B9" s="55" t="s">
        <v>115</v>
      </c>
      <c r="C9" s="56" t="s">
        <v>116</v>
      </c>
      <c r="D9" s="56"/>
      <c r="E9" s="56"/>
      <c r="F9" s="56"/>
      <c r="G9" s="125">
        <v>3153</v>
      </c>
      <c r="H9" s="99">
        <v>3122</v>
      </c>
      <c r="I9" s="99">
        <v>3159</v>
      </c>
      <c r="J9" s="99">
        <v>3148</v>
      </c>
      <c r="K9" s="99">
        <v>3122</v>
      </c>
      <c r="L9" s="99">
        <v>3151</v>
      </c>
      <c r="M9" s="99">
        <v>3156</v>
      </c>
      <c r="N9" s="99">
        <v>3158</v>
      </c>
      <c r="O9" s="99">
        <v>3173</v>
      </c>
      <c r="P9" s="99"/>
      <c r="Q9" s="154"/>
    </row>
    <row r="10" spans="1:17" x14ac:dyDescent="0.25">
      <c r="A10" s="56">
        <v>24</v>
      </c>
      <c r="B10" s="111" t="s">
        <v>141</v>
      </c>
      <c r="C10" s="56" t="s">
        <v>116</v>
      </c>
      <c r="D10" s="56"/>
      <c r="E10" s="56"/>
      <c r="F10" s="56"/>
      <c r="G10" s="125">
        <v>3634381.8090300001</v>
      </c>
      <c r="H10" s="99">
        <v>2904967.92667</v>
      </c>
      <c r="I10" s="99">
        <v>1882575.8246300002</v>
      </c>
      <c r="J10" s="99">
        <v>1780378.2680599999</v>
      </c>
      <c r="K10" s="99">
        <v>1674514.8459600001</v>
      </c>
      <c r="L10" s="99">
        <v>2068490.6487999998</v>
      </c>
      <c r="M10" s="99">
        <v>4988125.6679999996</v>
      </c>
      <c r="N10" s="99">
        <v>5823340.1000000006</v>
      </c>
      <c r="O10" s="99">
        <v>7851509.3900000006</v>
      </c>
      <c r="P10" s="99"/>
      <c r="Q10" s="154"/>
    </row>
    <row r="11" spans="1:17" x14ac:dyDescent="0.25">
      <c r="A11" s="56">
        <v>25</v>
      </c>
      <c r="B11" s="55" t="s">
        <v>138</v>
      </c>
      <c r="C11" s="56" t="s">
        <v>116</v>
      </c>
      <c r="D11" s="56"/>
      <c r="E11" s="56"/>
      <c r="F11" s="56"/>
      <c r="G11" s="126">
        <v>1271851.6594199999</v>
      </c>
      <c r="H11" s="104">
        <v>1057693.92821</v>
      </c>
      <c r="I11" s="104">
        <v>769947.56831999996</v>
      </c>
      <c r="J11" s="104">
        <v>753246.57704000012</v>
      </c>
      <c r="K11" s="104">
        <v>745620.61048999999</v>
      </c>
      <c r="L11" s="104">
        <v>839522.80458000011</v>
      </c>
      <c r="M11" s="104">
        <v>1642482.98893</v>
      </c>
      <c r="N11" s="104">
        <v>1906840.4534799999</v>
      </c>
      <c r="O11" s="104">
        <v>2470330.58348</v>
      </c>
      <c r="P11" s="104"/>
      <c r="Q11" s="154"/>
    </row>
    <row r="12" spans="1:17" x14ac:dyDescent="0.25">
      <c r="A12" s="56">
        <v>26</v>
      </c>
      <c r="B12" s="55" t="s">
        <v>118</v>
      </c>
      <c r="C12" s="56" t="s">
        <v>116</v>
      </c>
      <c r="D12" s="56"/>
      <c r="E12" s="56"/>
      <c r="F12" s="56"/>
      <c r="G12" s="126">
        <v>322893.81</v>
      </c>
      <c r="H12" s="104">
        <v>336113.32</v>
      </c>
      <c r="I12" s="104">
        <v>340493.83999999997</v>
      </c>
      <c r="J12" s="104">
        <v>339112.1</v>
      </c>
      <c r="K12" s="104">
        <v>336676</v>
      </c>
      <c r="L12" s="104">
        <v>340190.85</v>
      </c>
      <c r="M12" s="104">
        <v>340206.81</v>
      </c>
      <c r="N12" s="104">
        <v>339538.82</v>
      </c>
      <c r="O12" s="104">
        <v>341751.92</v>
      </c>
      <c r="P12" s="104"/>
      <c r="Q12" s="154"/>
    </row>
    <row r="13" spans="1:17" ht="21" customHeight="1" x14ac:dyDescent="0.25">
      <c r="A13" s="56">
        <v>27</v>
      </c>
      <c r="B13" s="55" t="s">
        <v>139</v>
      </c>
      <c r="C13" s="56" t="s">
        <v>116</v>
      </c>
      <c r="D13" s="56"/>
      <c r="E13" s="56"/>
      <c r="F13" s="56"/>
      <c r="G13" s="125">
        <v>41</v>
      </c>
      <c r="H13" s="155">
        <v>38</v>
      </c>
      <c r="I13" s="155">
        <v>38</v>
      </c>
      <c r="J13" s="155">
        <v>38</v>
      </c>
      <c r="K13" s="155">
        <v>42</v>
      </c>
      <c r="L13" s="155">
        <v>37</v>
      </c>
      <c r="M13" s="155">
        <v>36</v>
      </c>
      <c r="N13" s="155">
        <v>44</v>
      </c>
      <c r="O13" s="155">
        <v>42</v>
      </c>
      <c r="P13" s="155"/>
      <c r="Q13" s="154"/>
    </row>
    <row r="14" spans="1:17" x14ac:dyDescent="0.25">
      <c r="A14" s="56">
        <v>28</v>
      </c>
      <c r="B14" s="111" t="s">
        <v>144</v>
      </c>
      <c r="C14" s="56" t="s">
        <v>116</v>
      </c>
      <c r="D14" s="56"/>
      <c r="E14" s="56"/>
      <c r="F14" s="56"/>
      <c r="G14" s="125">
        <v>108540</v>
      </c>
      <c r="H14" s="155">
        <v>55253.154240000003</v>
      </c>
      <c r="I14" s="155">
        <v>35573.4</v>
      </c>
      <c r="J14" s="155">
        <v>22680.040700000001</v>
      </c>
      <c r="K14" s="155">
        <v>15266.382170000001</v>
      </c>
      <c r="L14" s="155">
        <v>17846.57302</v>
      </c>
      <c r="M14" s="155">
        <v>28994</v>
      </c>
      <c r="N14" s="155">
        <v>73865.520610000007</v>
      </c>
      <c r="O14" s="155">
        <v>142469.31888000001</v>
      </c>
      <c r="P14" s="155"/>
      <c r="Q14" s="154"/>
    </row>
    <row r="15" spans="1:17" x14ac:dyDescent="0.25">
      <c r="A15" s="56">
        <v>29</v>
      </c>
      <c r="B15" s="55" t="s">
        <v>140</v>
      </c>
      <c r="C15" s="56" t="s">
        <v>116</v>
      </c>
      <c r="D15" s="56"/>
      <c r="E15" s="56"/>
      <c r="F15" s="56"/>
      <c r="G15" s="126">
        <v>32148.65</v>
      </c>
      <c r="H15" s="156">
        <v>18347.89</v>
      </c>
      <c r="I15" s="156">
        <v>13156.25</v>
      </c>
      <c r="J15" s="156">
        <v>9775.08</v>
      </c>
      <c r="K15" s="156">
        <v>7888.57</v>
      </c>
      <c r="L15" s="156">
        <v>8345.41</v>
      </c>
      <c r="M15" s="156">
        <v>11208.43</v>
      </c>
      <c r="N15" s="156">
        <v>23820.26</v>
      </c>
      <c r="O15" s="156">
        <v>41806.769999999997</v>
      </c>
      <c r="P15" s="156"/>
      <c r="Q15" s="154"/>
    </row>
    <row r="16" spans="1:17" x14ac:dyDescent="0.25">
      <c r="A16" s="56">
        <v>30</v>
      </c>
      <c r="B16" s="55" t="s">
        <v>142</v>
      </c>
      <c r="C16" s="56" t="s">
        <v>116</v>
      </c>
      <c r="D16" s="56"/>
      <c r="E16" s="56"/>
      <c r="F16" s="56"/>
      <c r="G16" s="126">
        <v>4089.6600000000003</v>
      </c>
      <c r="H16" s="156">
        <v>3927.7</v>
      </c>
      <c r="I16" s="156">
        <v>4108.87</v>
      </c>
      <c r="J16" s="156">
        <v>4087.39</v>
      </c>
      <c r="K16" s="156">
        <v>4252.16</v>
      </c>
      <c r="L16" s="156">
        <v>3979.67</v>
      </c>
      <c r="M16" s="156">
        <v>3829.17</v>
      </c>
      <c r="N16" s="156">
        <v>3860.2</v>
      </c>
      <c r="O16" s="156">
        <v>4510.3999999999996</v>
      </c>
      <c r="P16" s="156"/>
      <c r="Q16" s="154"/>
    </row>
    <row r="17" spans="1:17" x14ac:dyDescent="0.25">
      <c r="A17" s="56"/>
      <c r="B17" s="98"/>
      <c r="C17" s="56"/>
      <c r="D17" s="56"/>
      <c r="E17" s="56"/>
      <c r="F17" s="56"/>
      <c r="G17" s="124"/>
      <c r="H17" s="114"/>
      <c r="I17" s="56"/>
      <c r="J17" s="56"/>
      <c r="K17" s="56"/>
      <c r="L17" s="56"/>
      <c r="M17" s="56"/>
      <c r="N17" s="56"/>
      <c r="O17" s="56"/>
      <c r="P17" s="56"/>
      <c r="Q17" s="154"/>
    </row>
    <row r="18" spans="1:17" x14ac:dyDescent="0.25">
      <c r="A18" s="56">
        <v>31</v>
      </c>
      <c r="B18" s="55" t="s">
        <v>150</v>
      </c>
      <c r="C18" s="56" t="str">
        <f>"("&amp;A9&amp;") - ("&amp;A13&amp;")"</f>
        <v>(23) - (27)</v>
      </c>
      <c r="D18" s="99">
        <v>3142</v>
      </c>
      <c r="E18" s="99">
        <v>3158</v>
      </c>
      <c r="F18" s="99">
        <v>3147</v>
      </c>
      <c r="G18" s="133">
        <f>G9-G13</f>
        <v>3112</v>
      </c>
      <c r="H18" s="100">
        <f t="shared" ref="H18:O18" si="1">H9-H13</f>
        <v>3084</v>
      </c>
      <c r="I18" s="100">
        <f t="shared" si="1"/>
        <v>3121</v>
      </c>
      <c r="J18" s="100">
        <f t="shared" si="1"/>
        <v>3110</v>
      </c>
      <c r="K18" s="100">
        <f t="shared" si="1"/>
        <v>3080</v>
      </c>
      <c r="L18" s="100">
        <f t="shared" si="1"/>
        <v>3114</v>
      </c>
      <c r="M18" s="100">
        <f t="shared" si="1"/>
        <v>3120</v>
      </c>
      <c r="N18" s="100">
        <f t="shared" si="1"/>
        <v>3114</v>
      </c>
      <c r="O18" s="100">
        <f t="shared" si="1"/>
        <v>3131</v>
      </c>
      <c r="P18" s="100"/>
      <c r="Q18" s="157">
        <f>SUM(D18:O18)</f>
        <v>37433</v>
      </c>
    </row>
    <row r="19" spans="1:17" ht="25.5" x14ac:dyDescent="0.25">
      <c r="A19" s="135">
        <v>32</v>
      </c>
      <c r="B19" s="158" t="s">
        <v>117</v>
      </c>
      <c r="C19" s="159" t="s">
        <v>95</v>
      </c>
      <c r="D19" s="106">
        <f>'Pg 5 UG-170486 Auth-3'!D25</f>
        <v>644.72071006316287</v>
      </c>
      <c r="E19" s="106">
        <f>'Pg 5 UG-170486 Auth-3'!E25</f>
        <v>572.95798240681665</v>
      </c>
      <c r="F19" s="106">
        <f>'Pg 5 UG-170486 Auth-3'!F25</f>
        <v>501.96685841519201</v>
      </c>
      <c r="G19" s="128">
        <f>'Pg 9 UG-190335 Auth-3'!G25</f>
        <v>402.99032361790921</v>
      </c>
      <c r="H19" s="106">
        <f>'Pg 9 UG-190335 Auth-3'!H25</f>
        <v>291.99506227931914</v>
      </c>
      <c r="I19" s="106">
        <f>'Pg 9 UG-190335 Auth-3'!I25</f>
        <v>212.4602059762959</v>
      </c>
      <c r="J19" s="106">
        <f>'Pg 9 UG-190335 Auth-3'!J25</f>
        <v>153.38546791191717</v>
      </c>
      <c r="K19" s="106">
        <f>'Pg 9 UG-190335 Auth-3'!K25</f>
        <v>167.80399902052821</v>
      </c>
      <c r="L19" s="106">
        <f>'Pg 9 UG-190335 Auth-3'!L25</f>
        <v>199.68854818394192</v>
      </c>
      <c r="M19" s="106">
        <f>'Pg 9 UG-190335 Auth-3'!M25</f>
        <v>363.99825171452284</v>
      </c>
      <c r="N19" s="106">
        <f>'Pg 9 UG-190335 Auth-3'!N25</f>
        <v>552.4938504126975</v>
      </c>
      <c r="O19" s="106">
        <f>'Pg 9 UG-190335 Auth-3'!O25</f>
        <v>675.30369426127231</v>
      </c>
      <c r="P19" s="106"/>
      <c r="Q19" s="106">
        <f>SUM(D19:O19)</f>
        <v>4739.7649542635754</v>
      </c>
    </row>
    <row r="20" spans="1:17" x14ac:dyDescent="0.25">
      <c r="A20" s="56">
        <v>33</v>
      </c>
      <c r="B20" s="55" t="s">
        <v>27</v>
      </c>
      <c r="C20" s="56" t="str">
        <f>"("&amp;A18&amp;") x ("&amp;A19&amp;")"</f>
        <v>(31) x (32)</v>
      </c>
      <c r="D20" s="101">
        <f t="shared" ref="D20:N20" si="2">D18*D19</f>
        <v>2025712.4710184578</v>
      </c>
      <c r="E20" s="101">
        <f t="shared" si="2"/>
        <v>1809401.3084407269</v>
      </c>
      <c r="F20" s="101">
        <f t="shared" si="2"/>
        <v>1579689.7034326093</v>
      </c>
      <c r="G20" s="127">
        <f t="shared" si="2"/>
        <v>1254105.8870989336</v>
      </c>
      <c r="H20" s="115">
        <f t="shared" si="2"/>
        <v>900512.7720694202</v>
      </c>
      <c r="I20" s="101">
        <f t="shared" si="2"/>
        <v>663088.30285201943</v>
      </c>
      <c r="J20" s="101">
        <f t="shared" si="2"/>
        <v>477028.80520606239</v>
      </c>
      <c r="K20" s="101">
        <f t="shared" si="2"/>
        <v>516836.31698322686</v>
      </c>
      <c r="L20" s="101">
        <f t="shared" si="2"/>
        <v>621830.13904479519</v>
      </c>
      <c r="M20" s="101">
        <f t="shared" si="2"/>
        <v>1135674.5453493113</v>
      </c>
      <c r="N20" s="101">
        <f t="shared" si="2"/>
        <v>1720465.85018514</v>
      </c>
      <c r="O20" s="101">
        <f>O18*O19-12689.42</f>
        <v>2101686.4467320438</v>
      </c>
      <c r="P20" s="160" t="s">
        <v>176</v>
      </c>
      <c r="Q20" s="110">
        <f>SUM(D20:O20)</f>
        <v>14806032.548412748</v>
      </c>
    </row>
    <row r="21" spans="1:17" x14ac:dyDescent="0.25">
      <c r="A21" s="56"/>
      <c r="B21" s="55"/>
      <c r="C21" s="56"/>
      <c r="D21" s="101"/>
      <c r="E21" s="101"/>
      <c r="F21" s="101"/>
      <c r="G21" s="127"/>
      <c r="H21" s="115"/>
      <c r="I21" s="101"/>
      <c r="J21" s="101"/>
      <c r="K21" s="101"/>
      <c r="L21" s="101"/>
      <c r="M21" s="101"/>
      <c r="N21" s="101"/>
      <c r="O21" s="101"/>
      <c r="P21" s="101"/>
      <c r="Q21" s="110"/>
    </row>
    <row r="22" spans="1:17" x14ac:dyDescent="0.25">
      <c r="A22" s="56">
        <v>34</v>
      </c>
      <c r="B22" s="55" t="s">
        <v>151</v>
      </c>
      <c r="C22" s="56" t="str">
        <f>"("&amp;A10&amp;") - ("&amp;A14&amp;")"</f>
        <v>(24) - (28)</v>
      </c>
      <c r="D22" s="99">
        <v>8048134.9322300004</v>
      </c>
      <c r="E22" s="99">
        <v>7886249.7823200002</v>
      </c>
      <c r="F22" s="99">
        <v>7168311.4264900004</v>
      </c>
      <c r="G22" s="133">
        <f>G10-G14</f>
        <v>3525841.8090300001</v>
      </c>
      <c r="H22" s="100">
        <f t="shared" ref="H22:O22" si="3">H10-H14</f>
        <v>2849714.7724299999</v>
      </c>
      <c r="I22" s="100">
        <f t="shared" si="3"/>
        <v>1847002.4246300003</v>
      </c>
      <c r="J22" s="100">
        <f t="shared" si="3"/>
        <v>1757698.2273599999</v>
      </c>
      <c r="K22" s="100">
        <f t="shared" si="3"/>
        <v>1659248.46379</v>
      </c>
      <c r="L22" s="100">
        <f t="shared" si="3"/>
        <v>2050644.0757799998</v>
      </c>
      <c r="M22" s="100">
        <f t="shared" si="3"/>
        <v>4959131.6679999996</v>
      </c>
      <c r="N22" s="100">
        <f t="shared" si="3"/>
        <v>5749474.5793900006</v>
      </c>
      <c r="O22" s="100">
        <f t="shared" si="3"/>
        <v>7709040.0711200004</v>
      </c>
      <c r="P22" s="100"/>
      <c r="Q22" s="100">
        <f>SUM(D22:O22)</f>
        <v>55210492.23257</v>
      </c>
    </row>
    <row r="23" spans="1:17" ht="26.25" x14ac:dyDescent="0.25">
      <c r="A23" s="56">
        <v>35</v>
      </c>
      <c r="B23" s="103" t="s">
        <v>147</v>
      </c>
      <c r="C23" s="56" t="str">
        <f>"("&amp;A11&amp;") - ("&amp;A15&amp;")"</f>
        <v>(25) - (29)</v>
      </c>
      <c r="D23" s="104">
        <v>2616089.6451899996</v>
      </c>
      <c r="E23" s="104">
        <v>2269382.8915599994</v>
      </c>
      <c r="F23" s="104">
        <v>2087429.1248900001</v>
      </c>
      <c r="G23" s="134">
        <f>G11-G15</f>
        <v>1239703.00942</v>
      </c>
      <c r="H23" s="105">
        <f t="shared" ref="H23:O23" si="4">H11-H15</f>
        <v>1039346.03821</v>
      </c>
      <c r="I23" s="105">
        <f t="shared" si="4"/>
        <v>756791.31831999996</v>
      </c>
      <c r="J23" s="105">
        <f t="shared" si="4"/>
        <v>743471.49704000016</v>
      </c>
      <c r="K23" s="105">
        <f t="shared" si="4"/>
        <v>737732.04049000004</v>
      </c>
      <c r="L23" s="105">
        <f t="shared" si="4"/>
        <v>831177.39458000008</v>
      </c>
      <c r="M23" s="105">
        <f t="shared" si="4"/>
        <v>1631274.5589300001</v>
      </c>
      <c r="N23" s="105">
        <f t="shared" si="4"/>
        <v>1883020.1934799999</v>
      </c>
      <c r="O23" s="105">
        <f t="shared" si="4"/>
        <v>2428523.81348</v>
      </c>
      <c r="P23" s="105"/>
      <c r="Q23" s="101">
        <f>SUM(D23:O23)</f>
        <v>18263941.525589999</v>
      </c>
    </row>
    <row r="24" spans="1:17" ht="29.25" customHeight="1" x14ac:dyDescent="0.25">
      <c r="A24" s="135">
        <v>36</v>
      </c>
      <c r="B24" s="139" t="s">
        <v>148</v>
      </c>
      <c r="C24" s="135" t="str">
        <f>"("&amp;A12&amp;") - ("&amp;A16&amp;")"</f>
        <v>(26) - (30)</v>
      </c>
      <c r="D24" s="136">
        <v>306762.17</v>
      </c>
      <c r="E24" s="136">
        <v>308694.15999999997</v>
      </c>
      <c r="F24" s="136">
        <v>307626.48000000004</v>
      </c>
      <c r="G24" s="137">
        <f>G12-G16</f>
        <v>318804.15000000002</v>
      </c>
      <c r="H24" s="138">
        <f t="shared" ref="H24:O24" si="5">H12-H16</f>
        <v>332185.62</v>
      </c>
      <c r="I24" s="138">
        <f t="shared" si="5"/>
        <v>336384.97</v>
      </c>
      <c r="J24" s="138">
        <f t="shared" si="5"/>
        <v>335024.70999999996</v>
      </c>
      <c r="K24" s="138">
        <f t="shared" si="5"/>
        <v>332423.84000000003</v>
      </c>
      <c r="L24" s="138">
        <f t="shared" si="5"/>
        <v>336211.18</v>
      </c>
      <c r="M24" s="138">
        <f t="shared" si="5"/>
        <v>336377.64</v>
      </c>
      <c r="N24" s="138">
        <f t="shared" si="5"/>
        <v>335678.62</v>
      </c>
      <c r="O24" s="138">
        <f t="shared" si="5"/>
        <v>337241.51999999996</v>
      </c>
      <c r="P24" s="138"/>
      <c r="Q24" s="138">
        <f>SUM(D24:O24)</f>
        <v>3923415.06</v>
      </c>
    </row>
    <row r="25" spans="1:17" x14ac:dyDescent="0.25">
      <c r="A25" s="56">
        <v>37</v>
      </c>
      <c r="B25" s="55" t="s">
        <v>119</v>
      </c>
      <c r="C25" s="56" t="str">
        <f>"("&amp;A23&amp;") - ("&amp;A24&amp;")"</f>
        <v>(35) - (36)</v>
      </c>
      <c r="D25" s="101">
        <f t="shared" ref="D25:O25" si="6">D23-D24</f>
        <v>2309327.4751899997</v>
      </c>
      <c r="E25" s="101">
        <f t="shared" si="6"/>
        <v>1960688.7315599995</v>
      </c>
      <c r="F25" s="101">
        <f t="shared" si="6"/>
        <v>1779802.6448900001</v>
      </c>
      <c r="G25" s="127">
        <f t="shared" si="6"/>
        <v>920898.85941999999</v>
      </c>
      <c r="H25" s="115">
        <f t="shared" si="6"/>
        <v>707160.41821000003</v>
      </c>
      <c r="I25" s="101">
        <f t="shared" si="6"/>
        <v>420406.34831999999</v>
      </c>
      <c r="J25" s="101">
        <f t="shared" si="6"/>
        <v>408446.7870400002</v>
      </c>
      <c r="K25" s="101">
        <f t="shared" si="6"/>
        <v>405308.20049000002</v>
      </c>
      <c r="L25" s="101">
        <f t="shared" si="6"/>
        <v>494966.21458000009</v>
      </c>
      <c r="M25" s="101">
        <f t="shared" si="6"/>
        <v>1294896.9189300002</v>
      </c>
      <c r="N25" s="101">
        <f t="shared" si="6"/>
        <v>1547341.5734799998</v>
      </c>
      <c r="O25" s="101">
        <f t="shared" si="6"/>
        <v>2091282.29348</v>
      </c>
      <c r="P25" s="101"/>
      <c r="Q25" s="105">
        <f>SUM(D25:O25)</f>
        <v>14340526.465589998</v>
      </c>
    </row>
    <row r="26" spans="1:17" x14ac:dyDescent="0.25">
      <c r="A26" s="56">
        <v>38</v>
      </c>
      <c r="B26" s="111" t="s">
        <v>129</v>
      </c>
      <c r="C26" s="56" t="str">
        <f>"("&amp;A25&amp;") / ("&amp;A18&amp;")"</f>
        <v>(37) / (31)</v>
      </c>
      <c r="D26" s="112">
        <f>D25/D18</f>
        <v>734.98646568746017</v>
      </c>
      <c r="E26" s="112">
        <f t="shared" ref="E26:O26" si="7">E25/E18</f>
        <v>620.86406952501568</v>
      </c>
      <c r="F26" s="112">
        <f t="shared" si="7"/>
        <v>565.55533679377186</v>
      </c>
      <c r="G26" s="131">
        <f t="shared" si="7"/>
        <v>295.91865662596399</v>
      </c>
      <c r="H26" s="118">
        <f t="shared" si="7"/>
        <v>229.29974650129702</v>
      </c>
      <c r="I26" s="112">
        <f t="shared" si="7"/>
        <v>134.70245059916692</v>
      </c>
      <c r="J26" s="112">
        <f t="shared" si="7"/>
        <v>131.33337203858528</v>
      </c>
      <c r="K26" s="112">
        <f t="shared" si="7"/>
        <v>131.59357158766235</v>
      </c>
      <c r="L26" s="112">
        <f t="shared" si="7"/>
        <v>158.94868804752733</v>
      </c>
      <c r="M26" s="112">
        <f t="shared" si="7"/>
        <v>415.03106375961545</v>
      </c>
      <c r="N26" s="112">
        <f t="shared" si="7"/>
        <v>496.89838583172764</v>
      </c>
      <c r="O26" s="112">
        <f t="shared" si="7"/>
        <v>667.9279123219419</v>
      </c>
      <c r="P26" s="112"/>
      <c r="Q26" s="112"/>
    </row>
    <row r="27" spans="1:17" x14ac:dyDescent="0.25">
      <c r="A27" s="56">
        <v>39</v>
      </c>
      <c r="B27" s="55" t="s">
        <v>121</v>
      </c>
      <c r="C27" s="56" t="str">
        <f>"("&amp;A20&amp;") - ("&amp;A25&amp;")"</f>
        <v>(33) - (37)</v>
      </c>
      <c r="D27" s="101">
        <f>D20-D25</f>
        <v>-283615.00417154189</v>
      </c>
      <c r="E27" s="101">
        <f t="shared" ref="E27:O27" si="8">E20-E25</f>
        <v>-151287.42311927257</v>
      </c>
      <c r="F27" s="101">
        <f t="shared" si="8"/>
        <v>-200112.94145739079</v>
      </c>
      <c r="G27" s="127">
        <f t="shared" si="8"/>
        <v>333207.02767893358</v>
      </c>
      <c r="H27" s="101">
        <f t="shared" si="8"/>
        <v>193352.35385942017</v>
      </c>
      <c r="I27" s="101">
        <f t="shared" si="8"/>
        <v>242681.95453201944</v>
      </c>
      <c r="J27" s="101">
        <f t="shared" si="8"/>
        <v>68582.018166062189</v>
      </c>
      <c r="K27" s="101">
        <f t="shared" si="8"/>
        <v>111528.11649322684</v>
      </c>
      <c r="L27" s="101">
        <f t="shared" si="8"/>
        <v>126863.9244647951</v>
      </c>
      <c r="M27" s="101">
        <f t="shared" si="8"/>
        <v>-159222.37358068884</v>
      </c>
      <c r="N27" s="101">
        <f t="shared" si="8"/>
        <v>173124.27670514025</v>
      </c>
      <c r="O27" s="101">
        <f t="shared" si="8"/>
        <v>10404.153252043761</v>
      </c>
      <c r="P27" s="101"/>
      <c r="Q27" s="105">
        <f t="shared" ref="Q27:Q30" si="9">SUM(D27:O27)</f>
        <v>465506.08282274724</v>
      </c>
    </row>
    <row r="28" spans="1:17" x14ac:dyDescent="0.25">
      <c r="A28" s="56">
        <v>40</v>
      </c>
      <c r="B28" s="55" t="s">
        <v>122</v>
      </c>
      <c r="C28" s="56" t="s">
        <v>123</v>
      </c>
      <c r="D28" s="101">
        <f>D27*-'Pg 6 UG-170486 Auth-4'!$E$20</f>
        <v>13178.171168830691</v>
      </c>
      <c r="E28" s="101">
        <f>E27*-'Pg 6 UG-170486 Auth-4'!$E$20</f>
        <v>7029.5701152369993</v>
      </c>
      <c r="F28" s="101">
        <f>F27*-'Pg 6 UG-170486 Auth-4'!$E$20</f>
        <v>9298.2478248176612</v>
      </c>
      <c r="G28" s="127">
        <f>G27*-'Pg 10 UG-190335 Auth-4'!$E$20</f>
        <v>-14712.756307163312</v>
      </c>
      <c r="H28" s="101">
        <f>H27*-'Pg 10 UG-190335 Auth-4'!$E$20</f>
        <v>-8537.4731846626983</v>
      </c>
      <c r="I28" s="101">
        <f>I27*-'Pg 10 UG-190335 Auth-4'!$E$20</f>
        <v>-10715.621702361319</v>
      </c>
      <c r="J28" s="101">
        <f>J27*-'Pg 10 UG-190335 Auth-4'!$E$20</f>
        <v>-3028.2390121224757</v>
      </c>
      <c r="K28" s="101">
        <f>K27*-'Pg 10 UG-190335 Auth-4'!$E$20</f>
        <v>-4924.5239837584313</v>
      </c>
      <c r="L28" s="101">
        <f>L27*-'Pg 10 UG-190335 Auth-4'!$E$20</f>
        <v>-5601.6765847430279</v>
      </c>
      <c r="M28" s="101">
        <f>M27*-'Pg 10 UG-190335 Auth-4'!$E$20</f>
        <v>7030.4639054553163</v>
      </c>
      <c r="N28" s="101">
        <f>N27*-'Pg 10 UG-190335 Auth-4'!$E$20</f>
        <v>-7644.3024379154676</v>
      </c>
      <c r="O28" s="101">
        <f>O27*-'Pg 10 UG-190335 Auth-4'!$E$20</f>
        <v>-459.3953868439923</v>
      </c>
      <c r="P28" s="101"/>
      <c r="Q28" s="105">
        <f t="shared" si="9"/>
        <v>-19087.535585230056</v>
      </c>
    </row>
    <row r="29" spans="1:17" x14ac:dyDescent="0.25">
      <c r="A29" s="56">
        <v>41</v>
      </c>
      <c r="B29" s="55"/>
      <c r="C29" s="56" t="s">
        <v>124</v>
      </c>
      <c r="D29" s="161">
        <v>4.9599999999999998E-2</v>
      </c>
      <c r="E29" s="161">
        <v>4.9599999999999998E-2</v>
      </c>
      <c r="F29" s="161">
        <v>4.9599999999999998E-2</v>
      </c>
      <c r="G29" s="162">
        <v>4.7500000000000001E-2</v>
      </c>
      <c r="H29" s="163">
        <v>4.7500000000000001E-2</v>
      </c>
      <c r="I29" s="161">
        <v>4.7500000000000001E-2</v>
      </c>
      <c r="J29" s="161">
        <v>3.4299999999999997E-2</v>
      </c>
      <c r="K29" s="161">
        <v>3.4299999999999997E-2</v>
      </c>
      <c r="L29" s="161">
        <v>3.4299999999999997E-2</v>
      </c>
      <c r="M29" s="161">
        <v>3.2500000000000001E-2</v>
      </c>
      <c r="N29" s="161">
        <v>3.2500000000000001E-2</v>
      </c>
      <c r="O29" s="161">
        <v>3.2500000000000001E-2</v>
      </c>
      <c r="P29" s="161"/>
      <c r="Q29" s="164"/>
    </row>
    <row r="30" spans="1:17" x14ac:dyDescent="0.25">
      <c r="A30" s="56">
        <v>42</v>
      </c>
      <c r="B30" s="55" t="s">
        <v>125</v>
      </c>
      <c r="C30" s="56" t="s">
        <v>126</v>
      </c>
      <c r="D30" s="107">
        <f>(D27+D28)/2*D29/12</f>
        <v>-558.90278820560309</v>
      </c>
      <c r="E30" s="107">
        <f>(D32+(E27+E28)/2)*E29/12</f>
        <v>-1418.2486041441296</v>
      </c>
      <c r="F30" s="107">
        <f t="shared" ref="F30:O30" si="10">(E32+(F27+F28)/2)*F29/12</f>
        <v>-2116.5939614235836</v>
      </c>
      <c r="G30" s="129">
        <f t="shared" si="10"/>
        <v>-1782.6591243410321</v>
      </c>
      <c r="H30" s="117">
        <f t="shared" si="10"/>
        <v>-793.58278661612906</v>
      </c>
      <c r="I30" s="107">
        <f t="shared" si="10"/>
        <v>28.155433247671215</v>
      </c>
      <c r="J30" s="107">
        <f t="shared" si="10"/>
        <v>445.61749085789234</v>
      </c>
      <c r="K30" s="107">
        <f t="shared" si="10"/>
        <v>692.93279118821522</v>
      </c>
      <c r="L30" s="107">
        <f t="shared" si="10"/>
        <v>1020.5716876397179</v>
      </c>
      <c r="M30" s="107">
        <f t="shared" si="10"/>
        <v>927.89412105247118</v>
      </c>
      <c r="N30" s="107">
        <f t="shared" si="10"/>
        <v>948.40142176530981</v>
      </c>
      <c r="O30" s="107">
        <f t="shared" si="10"/>
        <v>1188.5243337119159</v>
      </c>
      <c r="P30" s="107"/>
      <c r="Q30" s="107">
        <f t="shared" si="9"/>
        <v>-1417.8899852672835</v>
      </c>
    </row>
    <row r="31" spans="1:17" ht="15.75" thickBot="1" x14ac:dyDescent="0.3">
      <c r="A31" s="56">
        <v>43</v>
      </c>
      <c r="B31" s="93" t="s">
        <v>130</v>
      </c>
      <c r="C31" s="56"/>
      <c r="D31" s="108">
        <f>D27+D28+D30</f>
        <v>-270995.73579091678</v>
      </c>
      <c r="E31" s="108">
        <f t="shared" ref="E31:O31" si="11">E27+E28+E30</f>
        <v>-145676.10160817968</v>
      </c>
      <c r="F31" s="108">
        <f t="shared" si="11"/>
        <v>-192931.28759399671</v>
      </c>
      <c r="G31" s="130">
        <f t="shared" si="11"/>
        <v>316711.61224742921</v>
      </c>
      <c r="H31" s="108">
        <f t="shared" si="11"/>
        <v>184021.29788814133</v>
      </c>
      <c r="I31" s="108">
        <f t="shared" si="11"/>
        <v>231994.4882629058</v>
      </c>
      <c r="J31" s="108">
        <f t="shared" si="11"/>
        <v>65999.396644797613</v>
      </c>
      <c r="K31" s="108">
        <f t="shared" si="11"/>
        <v>107296.52530065662</v>
      </c>
      <c r="L31" s="108">
        <f t="shared" si="11"/>
        <v>122282.8195676918</v>
      </c>
      <c r="M31" s="108">
        <f t="shared" si="11"/>
        <v>-151264.01555418107</v>
      </c>
      <c r="N31" s="108">
        <f t="shared" si="11"/>
        <v>166428.37568899008</v>
      </c>
      <c r="O31" s="108">
        <f t="shared" si="11"/>
        <v>11133.282198911684</v>
      </c>
      <c r="P31" s="108"/>
      <c r="Q31" s="108">
        <f>SUM(D31:O31)</f>
        <v>445000.65725224995</v>
      </c>
    </row>
    <row r="32" spans="1:17" ht="15.75" thickBot="1" x14ac:dyDescent="0.3">
      <c r="A32" s="56">
        <v>44</v>
      </c>
      <c r="B32" s="55" t="s">
        <v>128</v>
      </c>
      <c r="C32" s="56" t="str">
        <f>"Σ(("&amp;A27&amp;") ,("&amp;A28&amp;") , ("&amp;A30&amp;"))"</f>
        <v>Σ((39) ,(40) , (42))</v>
      </c>
      <c r="D32" s="101">
        <f>D27+D28+D30</f>
        <v>-270995.73579091678</v>
      </c>
      <c r="E32" s="101">
        <f>D32+E27+E28+E30</f>
        <v>-416671.83739909652</v>
      </c>
      <c r="F32" s="101">
        <f t="shared" ref="F32:O32" si="12">E32+F27+F28+F30</f>
        <v>-609603.1249930932</v>
      </c>
      <c r="G32" s="127">
        <f t="shared" si="12"/>
        <v>-292891.51274566399</v>
      </c>
      <c r="H32" s="115">
        <f t="shared" si="12"/>
        <v>-108870.21485752265</v>
      </c>
      <c r="I32" s="101">
        <f t="shared" si="12"/>
        <v>123124.27340538317</v>
      </c>
      <c r="J32" s="101">
        <f t="shared" si="12"/>
        <v>189123.67005018078</v>
      </c>
      <c r="K32" s="101">
        <f t="shared" si="12"/>
        <v>296420.19535083743</v>
      </c>
      <c r="L32" s="101">
        <f t="shared" si="12"/>
        <v>418703.0149185292</v>
      </c>
      <c r="M32" s="101">
        <f t="shared" si="12"/>
        <v>267438.99936434813</v>
      </c>
      <c r="N32" s="101">
        <f t="shared" si="12"/>
        <v>433867.37505333824</v>
      </c>
      <c r="O32" s="109">
        <f t="shared" si="12"/>
        <v>445000.65725224989</v>
      </c>
      <c r="P32" s="150"/>
      <c r="Q32" s="154"/>
    </row>
    <row r="33" spans="1:17" ht="15.75" thickBot="1" x14ac:dyDescent="0.3">
      <c r="A33" s="56"/>
      <c r="B33" s="55"/>
      <c r="C33" s="55"/>
      <c r="D33" s="55"/>
      <c r="E33" s="55"/>
      <c r="F33" s="55"/>
      <c r="G33" s="132"/>
      <c r="H33" s="119"/>
      <c r="I33" s="55"/>
      <c r="J33" s="55"/>
      <c r="K33" s="55"/>
      <c r="L33" s="55"/>
      <c r="M33" s="55"/>
      <c r="N33" s="55"/>
      <c r="O33" s="55"/>
      <c r="P33" s="55"/>
      <c r="Q33" s="154"/>
    </row>
    <row r="34" spans="1:17" ht="15.75" thickBot="1" x14ac:dyDescent="0.3">
      <c r="A34" s="98">
        <v>45</v>
      </c>
      <c r="B34" s="93" t="s">
        <v>131</v>
      </c>
      <c r="C34" s="98" t="s">
        <v>178</v>
      </c>
      <c r="D34" s="101">
        <f>D32+'Pg 1 Res Nat Gas Deferral'!D33</f>
        <v>-393444.24415459973</v>
      </c>
      <c r="E34" s="101">
        <f>E32+'Pg 1 Res Nat Gas Deferral'!E33</f>
        <v>-712990.75737147569</v>
      </c>
      <c r="F34" s="101">
        <f>F32+'Pg 1 Res Nat Gas Deferral'!F33</f>
        <v>-1665123.0261192885</v>
      </c>
      <c r="G34" s="127">
        <f>G32+'Pg 1 Res Nat Gas Deferral'!G33</f>
        <v>-414827.17787557043</v>
      </c>
      <c r="H34" s="101">
        <f>H32+'Pg 1 Res Nat Gas Deferral'!H33</f>
        <v>282790.53272982303</v>
      </c>
      <c r="I34" s="101">
        <f>I32+'Pg 1 Res Nat Gas Deferral'!I33</f>
        <v>597920.48565300112</v>
      </c>
      <c r="J34" s="101">
        <f>J32+'Pg 1 Res Nat Gas Deferral'!J33</f>
        <v>610564.40058876795</v>
      </c>
      <c r="K34" s="101">
        <f>K32+'Pg 1 Res Nat Gas Deferral'!K33</f>
        <v>764211.36249148333</v>
      </c>
      <c r="L34" s="101">
        <f>L32+'Pg 1 Res Nat Gas Deferral'!L33</f>
        <v>1146900.9874754348</v>
      </c>
      <c r="M34" s="101">
        <f>M32+'Pg 1 Res Nat Gas Deferral'!M33</f>
        <v>1200164.7928146725</v>
      </c>
      <c r="N34" s="101">
        <f>N32+'Pg 1 Res Nat Gas Deferral'!N33</f>
        <v>1117371.8602375991</v>
      </c>
      <c r="O34" s="109">
        <f>O32+'Pg 1 Res Nat Gas Deferral'!O33</f>
        <v>1619438.774244104</v>
      </c>
      <c r="P34" s="150"/>
      <c r="Q34" s="154"/>
    </row>
    <row r="35" spans="1:17" ht="27.75" customHeight="1" x14ac:dyDescent="0.25">
      <c r="A35" s="142"/>
      <c r="B35" s="168" t="s">
        <v>177</v>
      </c>
      <c r="C35" s="168"/>
      <c r="D35" s="168"/>
      <c r="E35" s="168"/>
      <c r="F35" s="168"/>
      <c r="G35" s="168"/>
      <c r="H35" s="168"/>
      <c r="I35" s="168"/>
      <c r="J35" s="168"/>
      <c r="K35" s="168"/>
      <c r="L35" s="168"/>
      <c r="M35" s="168"/>
      <c r="N35" s="168"/>
      <c r="O35" s="168"/>
      <c r="P35" s="168"/>
      <c r="Q35" s="142"/>
    </row>
  </sheetData>
  <mergeCells count="4">
    <mergeCell ref="A1:O1"/>
    <mergeCell ref="A2:O2"/>
    <mergeCell ref="A3:O3"/>
    <mergeCell ref="B35:P35"/>
  </mergeCells>
  <pageMargins left="0.7" right="0.7" top="0.75" bottom="0.75" header="0.3" footer="0.3"/>
  <pageSetup scale="48"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8"/>
  <sheetViews>
    <sheetView view="pageBreakPreview" zoomScale="60" zoomScaleNormal="100" workbookViewId="0">
      <selection activeCell="B50" sqref="B50"/>
    </sheetView>
  </sheetViews>
  <sheetFormatPr defaultRowHeight="15" x14ac:dyDescent="0.25"/>
  <cols>
    <col min="1" max="1" width="4.5703125" customWidth="1"/>
    <col min="2" max="2" width="48.7109375" customWidth="1"/>
    <col min="3" max="3" width="19.42578125" customWidth="1"/>
    <col min="4" max="4" width="20.5703125" bestFit="1" customWidth="1"/>
    <col min="5" max="5" width="27.5703125" bestFit="1" customWidth="1"/>
    <col min="6" max="6" width="17.7109375" bestFit="1" customWidth="1"/>
    <col min="7" max="7" width="19.42578125" bestFit="1" customWidth="1"/>
    <col min="8" max="8" width="14.85546875" bestFit="1" customWidth="1"/>
    <col min="9" max="9" width="16.140625" bestFit="1" customWidth="1"/>
    <col min="10" max="10" width="11.7109375" customWidth="1"/>
    <col min="11" max="11" width="11.5703125" bestFit="1" customWidth="1"/>
    <col min="12" max="12" width="11.85546875" customWidth="1"/>
    <col min="13" max="13" width="11.42578125" customWidth="1"/>
    <col min="15" max="15" width="6.5703125" customWidth="1"/>
    <col min="16" max="16" width="42" customWidth="1"/>
    <col min="18" max="18" width="20.140625" customWidth="1"/>
  </cols>
  <sheetData>
    <row r="1" spans="1:11" ht="15.75" x14ac:dyDescent="0.25">
      <c r="A1" s="173" t="s">
        <v>0</v>
      </c>
      <c r="B1" s="173"/>
      <c r="C1" s="173"/>
      <c r="D1" s="173"/>
      <c r="E1" s="173"/>
      <c r="F1" s="173"/>
      <c r="G1" s="173"/>
      <c r="H1" s="173"/>
      <c r="I1" s="173"/>
    </row>
    <row r="2" spans="1:11" ht="15.75" x14ac:dyDescent="0.25">
      <c r="A2" s="173" t="s">
        <v>1</v>
      </c>
      <c r="B2" s="173"/>
      <c r="C2" s="173"/>
      <c r="D2" s="173"/>
      <c r="E2" s="173"/>
      <c r="F2" s="173"/>
      <c r="G2" s="173"/>
      <c r="H2" s="173"/>
      <c r="I2" s="173"/>
    </row>
    <row r="3" spans="1:11" ht="15.75" x14ac:dyDescent="0.25">
      <c r="A3" s="169" t="s">
        <v>2</v>
      </c>
      <c r="B3" s="169"/>
      <c r="C3" s="169"/>
      <c r="D3" s="169"/>
      <c r="E3" s="169"/>
      <c r="F3" s="169"/>
      <c r="G3" s="169"/>
      <c r="H3" s="169"/>
      <c r="I3" s="169"/>
    </row>
    <row r="4" spans="1:11" ht="15.75" x14ac:dyDescent="0.25">
      <c r="A4" s="170" t="s">
        <v>3</v>
      </c>
      <c r="B4" s="170"/>
      <c r="C4" s="170"/>
      <c r="D4" s="170"/>
      <c r="E4" s="170"/>
      <c r="F4" s="170"/>
      <c r="G4" s="170"/>
      <c r="H4" s="170"/>
      <c r="I4" s="170"/>
    </row>
    <row r="5" spans="1:11" ht="15.75" x14ac:dyDescent="0.25">
      <c r="A5" s="1"/>
      <c r="B5" s="1"/>
      <c r="C5" s="1"/>
      <c r="D5" s="1"/>
      <c r="E5" s="1"/>
      <c r="F5" s="1"/>
      <c r="G5" s="1"/>
      <c r="H5" s="1"/>
      <c r="I5" s="1"/>
    </row>
    <row r="6" spans="1:11" ht="15.75" x14ac:dyDescent="0.25">
      <c r="A6" s="2"/>
      <c r="B6" s="2"/>
      <c r="C6" s="3" t="s">
        <v>4</v>
      </c>
      <c r="D6" s="3" t="s">
        <v>5</v>
      </c>
      <c r="E6" s="3" t="s">
        <v>6</v>
      </c>
      <c r="F6" s="3" t="s">
        <v>7</v>
      </c>
      <c r="G6" s="3" t="s">
        <v>8</v>
      </c>
      <c r="H6" s="4" t="s">
        <v>9</v>
      </c>
      <c r="I6" s="3" t="s">
        <v>9</v>
      </c>
      <c r="K6" s="3" t="s">
        <v>59</v>
      </c>
    </row>
    <row r="7" spans="1:11" ht="15.75" x14ac:dyDescent="0.25">
      <c r="A7" s="2"/>
      <c r="B7" s="2"/>
      <c r="C7" s="5" t="s">
        <v>10</v>
      </c>
      <c r="D7" s="5" t="s">
        <v>11</v>
      </c>
      <c r="E7" s="5" t="s">
        <v>12</v>
      </c>
      <c r="F7" s="5" t="s">
        <v>13</v>
      </c>
      <c r="G7" s="5" t="s">
        <v>14</v>
      </c>
      <c r="H7" s="6">
        <v>132</v>
      </c>
      <c r="I7" s="5" t="s">
        <v>15</v>
      </c>
      <c r="K7" s="3">
        <v>132</v>
      </c>
    </row>
    <row r="8" spans="1:11" ht="15.75" x14ac:dyDescent="0.25">
      <c r="A8" s="2"/>
      <c r="B8" s="2"/>
      <c r="C8" s="2"/>
      <c r="D8" s="2"/>
      <c r="E8" s="2"/>
      <c r="F8" s="2"/>
      <c r="G8" s="2"/>
      <c r="H8" s="7"/>
      <c r="I8" s="8"/>
    </row>
    <row r="9" spans="1:11" ht="15.75" x14ac:dyDescent="0.25">
      <c r="A9" s="2">
        <v>1</v>
      </c>
      <c r="B9" s="2" t="s">
        <v>16</v>
      </c>
      <c r="C9" s="9">
        <f>SUM(D9:I9)</f>
        <v>88831000</v>
      </c>
      <c r="D9" s="10">
        <v>67622000</v>
      </c>
      <c r="E9" s="10">
        <v>15462000</v>
      </c>
      <c r="F9" s="10">
        <f>1024000</f>
        <v>1024000</v>
      </c>
      <c r="G9" s="10">
        <f>190000-K9</f>
        <v>0</v>
      </c>
      <c r="H9" s="11">
        <f>K9</f>
        <v>190000</v>
      </c>
      <c r="I9" s="12">
        <f>2921000+1612000</f>
        <v>4533000</v>
      </c>
      <c r="K9" s="53">
        <v>190000</v>
      </c>
    </row>
    <row r="10" spans="1:11" ht="15.75" x14ac:dyDescent="0.25">
      <c r="A10" s="2">
        <v>2</v>
      </c>
      <c r="B10" s="13" t="s">
        <v>17</v>
      </c>
      <c r="C10" s="9">
        <f>SUM(D10:I10)</f>
        <v>-2145000</v>
      </c>
      <c r="D10" s="10">
        <v>-1663000</v>
      </c>
      <c r="E10" s="10">
        <v>-380000</v>
      </c>
      <c r="F10" s="10">
        <v>-25000</v>
      </c>
      <c r="G10" s="10">
        <f>-5000-K10</f>
        <v>0</v>
      </c>
      <c r="H10" s="11">
        <f>K10</f>
        <v>-5000</v>
      </c>
      <c r="I10" s="12">
        <v>-72000</v>
      </c>
      <c r="K10" s="53">
        <v>-5000</v>
      </c>
    </row>
    <row r="11" spans="1:11" ht="15.75" x14ac:dyDescent="0.25">
      <c r="A11" s="2">
        <v>3</v>
      </c>
      <c r="B11" s="2" t="s">
        <v>18</v>
      </c>
      <c r="C11" s="9">
        <f>SUM(D11:I11)</f>
        <v>86686000</v>
      </c>
      <c r="D11" s="14">
        <f t="shared" ref="D11:I11" si="0">D9+D10</f>
        <v>65959000</v>
      </c>
      <c r="E11" s="14">
        <f t="shared" si="0"/>
        <v>15082000</v>
      </c>
      <c r="F11" s="14">
        <f t="shared" si="0"/>
        <v>999000</v>
      </c>
      <c r="G11" s="14">
        <f>G9+G10</f>
        <v>0</v>
      </c>
      <c r="H11" s="15">
        <f t="shared" si="0"/>
        <v>185000</v>
      </c>
      <c r="I11" s="16">
        <f t="shared" si="0"/>
        <v>4461000</v>
      </c>
      <c r="K11" s="53">
        <f>K9+K10</f>
        <v>185000</v>
      </c>
    </row>
    <row r="12" spans="1:11" ht="15.75" x14ac:dyDescent="0.25">
      <c r="A12" s="2"/>
      <c r="B12" s="2"/>
      <c r="C12" s="2"/>
      <c r="D12" s="2"/>
      <c r="E12" s="2"/>
      <c r="F12" s="2"/>
      <c r="G12" s="2"/>
      <c r="H12" s="7"/>
      <c r="I12" s="8"/>
    </row>
    <row r="13" spans="1:11" ht="15.75" x14ac:dyDescent="0.25">
      <c r="A13" s="2">
        <v>4</v>
      </c>
      <c r="B13" s="2" t="s">
        <v>19</v>
      </c>
      <c r="C13" s="17">
        <f>SUM(D13:I13)</f>
        <v>252141683</v>
      </c>
      <c r="D13" s="18">
        <v>119446617</v>
      </c>
      <c r="E13" s="18">
        <v>47951720</v>
      </c>
      <c r="F13" s="18">
        <f>4115331</f>
        <v>4115331</v>
      </c>
      <c r="G13" s="18">
        <f>901267-K13</f>
        <v>0</v>
      </c>
      <c r="H13" s="19">
        <f>K13</f>
        <v>901267</v>
      </c>
      <c r="I13" s="20">
        <f>30719529+39386921+9620298</f>
        <v>79726748</v>
      </c>
      <c r="K13" s="54">
        <v>901267</v>
      </c>
    </row>
    <row r="14" spans="1:11" ht="15.75" x14ac:dyDescent="0.25">
      <c r="A14" s="2">
        <v>5</v>
      </c>
      <c r="B14" s="2" t="s">
        <v>20</v>
      </c>
      <c r="C14" s="21"/>
      <c r="D14" s="22">
        <v>0</v>
      </c>
      <c r="E14" s="22">
        <v>0</v>
      </c>
      <c r="F14" s="22">
        <v>0</v>
      </c>
      <c r="G14" s="22">
        <v>0</v>
      </c>
      <c r="H14" s="23"/>
      <c r="I14" s="24"/>
      <c r="K14" s="39">
        <f>G14</f>
        <v>0</v>
      </c>
    </row>
    <row r="15" spans="1:11" ht="15.75" x14ac:dyDescent="0.25">
      <c r="A15" s="2">
        <v>6</v>
      </c>
      <c r="B15" s="2" t="s">
        <v>21</v>
      </c>
      <c r="C15" s="9">
        <f>SUM(D15:G15)</f>
        <v>0</v>
      </c>
      <c r="D15" s="9">
        <f>D13*D14</f>
        <v>0</v>
      </c>
      <c r="E15" s="9">
        <f>E13*E14</f>
        <v>0</v>
      </c>
      <c r="F15" s="9">
        <f>F13*F14</f>
        <v>0</v>
      </c>
      <c r="G15" s="9">
        <f>G13*G14</f>
        <v>0</v>
      </c>
      <c r="H15" s="23"/>
      <c r="I15" s="24"/>
      <c r="K15" s="53">
        <f>K13*K14</f>
        <v>0</v>
      </c>
    </row>
    <row r="16" spans="1:11" ht="15.75" x14ac:dyDescent="0.25">
      <c r="A16" s="2"/>
      <c r="B16" s="2"/>
      <c r="C16" s="2"/>
      <c r="D16" s="2"/>
      <c r="E16" s="2"/>
      <c r="F16" s="2"/>
      <c r="G16" s="2"/>
      <c r="H16" s="23"/>
      <c r="I16" s="24"/>
    </row>
    <row r="17" spans="1:11" ht="15.75" x14ac:dyDescent="0.25">
      <c r="A17" s="2">
        <v>7</v>
      </c>
      <c r="B17" s="2" t="s">
        <v>22</v>
      </c>
      <c r="C17" s="9">
        <f>SUM(D17:G17)</f>
        <v>82040000</v>
      </c>
      <c r="D17" s="14">
        <f>D11-D15</f>
        <v>65959000</v>
      </c>
      <c r="E17" s="14">
        <f>E11-E15</f>
        <v>15082000</v>
      </c>
      <c r="F17" s="14">
        <f>F11-F15</f>
        <v>999000</v>
      </c>
      <c r="G17" s="14">
        <f>G11-G15</f>
        <v>0</v>
      </c>
      <c r="H17" s="15"/>
      <c r="I17" s="8"/>
      <c r="K17" s="38">
        <f>K11-K15</f>
        <v>185000</v>
      </c>
    </row>
    <row r="18" spans="1:11" ht="15.75" x14ac:dyDescent="0.25">
      <c r="A18" s="2"/>
      <c r="B18" s="2"/>
      <c r="C18" s="2"/>
      <c r="D18" s="2"/>
      <c r="E18" s="2"/>
      <c r="F18" s="2"/>
      <c r="G18" s="2"/>
      <c r="H18" s="7"/>
      <c r="I18" s="8"/>
    </row>
    <row r="19" spans="1:11" ht="15.75" x14ac:dyDescent="0.25">
      <c r="A19" s="2">
        <v>8</v>
      </c>
      <c r="B19" s="2" t="s">
        <v>23</v>
      </c>
      <c r="C19" s="17">
        <f>SUM(D19:I19)</f>
        <v>1881282</v>
      </c>
      <c r="D19" s="25">
        <v>1847462</v>
      </c>
      <c r="E19" s="25">
        <v>32983</v>
      </c>
      <c r="F19" s="25">
        <f>273</f>
        <v>273</v>
      </c>
      <c r="G19" s="25">
        <f>24-K19</f>
        <v>0</v>
      </c>
      <c r="H19" s="19">
        <f>K19</f>
        <v>24</v>
      </c>
      <c r="I19" s="20">
        <f>480+48+12</f>
        <v>540</v>
      </c>
      <c r="K19">
        <v>24</v>
      </c>
    </row>
    <row r="20" spans="1:11" ht="15.75" x14ac:dyDescent="0.25">
      <c r="A20" s="2">
        <v>9</v>
      </c>
      <c r="B20" s="2" t="s">
        <v>24</v>
      </c>
      <c r="C20" s="9"/>
      <c r="D20" s="26">
        <v>9.5</v>
      </c>
      <c r="E20" s="26">
        <v>97.25</v>
      </c>
      <c r="F20" s="26">
        <v>240.44</v>
      </c>
      <c r="G20" s="27">
        <f>G19*G18</f>
        <v>0</v>
      </c>
      <c r="H20" s="28"/>
      <c r="I20" s="8"/>
      <c r="K20" s="34">
        <f>G20</f>
        <v>0</v>
      </c>
    </row>
    <row r="21" spans="1:11" ht="15.75" x14ac:dyDescent="0.25">
      <c r="A21" s="2">
        <v>10</v>
      </c>
      <c r="B21" s="2" t="s">
        <v>25</v>
      </c>
      <c r="C21" s="9">
        <f>SUM(D21:G21)</f>
        <v>20824125.870000001</v>
      </c>
      <c r="D21" s="29">
        <f>D20*D19</f>
        <v>17550889</v>
      </c>
      <c r="E21" s="29">
        <f>E20*E19</f>
        <v>3207596.75</v>
      </c>
      <c r="F21" s="29">
        <f>F20*F19</f>
        <v>65640.12</v>
      </c>
      <c r="G21" s="29">
        <f>G20*G19</f>
        <v>0</v>
      </c>
      <c r="H21" s="28"/>
      <c r="I21" s="8"/>
      <c r="K21" s="38">
        <f>K19*K20</f>
        <v>0</v>
      </c>
    </row>
    <row r="22" spans="1:11" ht="15.75" x14ac:dyDescent="0.25">
      <c r="A22" s="2"/>
      <c r="B22" s="2"/>
      <c r="C22" s="9"/>
      <c r="D22" s="29"/>
      <c r="E22" s="29"/>
      <c r="F22" s="29"/>
      <c r="G22" s="29"/>
      <c r="H22" s="171" t="s">
        <v>26</v>
      </c>
      <c r="I22" s="172"/>
      <c r="K22" s="38"/>
    </row>
    <row r="23" spans="1:11" ht="15.75" x14ac:dyDescent="0.25">
      <c r="A23" s="2">
        <v>11</v>
      </c>
      <c r="B23" s="2" t="s">
        <v>27</v>
      </c>
      <c r="C23" s="9">
        <f>SUM(D23:G23)</f>
        <v>61215874.130000003</v>
      </c>
      <c r="D23" s="29">
        <f>D17-D21</f>
        <v>48408111</v>
      </c>
      <c r="E23" s="29">
        <f>E17-E21</f>
        <v>11874403.25</v>
      </c>
      <c r="F23" s="29">
        <f>F17-F21</f>
        <v>933359.88</v>
      </c>
      <c r="G23" s="29">
        <f>G17-G21</f>
        <v>0</v>
      </c>
      <c r="H23" s="171"/>
      <c r="I23" s="172"/>
      <c r="K23" s="38">
        <f>K17-K21</f>
        <v>185000</v>
      </c>
    </row>
    <row r="24" spans="1:11" ht="15.75" x14ac:dyDescent="0.25">
      <c r="A24" s="30"/>
      <c r="B24" s="30"/>
      <c r="C24" s="30"/>
      <c r="D24" s="30"/>
      <c r="E24" s="30"/>
      <c r="F24" s="30"/>
      <c r="G24" s="30"/>
      <c r="H24" s="31"/>
      <c r="I24" s="32"/>
    </row>
    <row r="25" spans="1:11" ht="15.75" x14ac:dyDescent="0.25">
      <c r="C25" s="2"/>
      <c r="D25" s="33" t="s">
        <v>28</v>
      </c>
      <c r="E25" s="2" t="s">
        <v>29</v>
      </c>
    </row>
    <row r="26" spans="1:11" ht="15.75" x14ac:dyDescent="0.25">
      <c r="A26" s="2">
        <v>12</v>
      </c>
      <c r="B26" s="2" t="s">
        <v>30</v>
      </c>
      <c r="C26" s="17"/>
      <c r="D26" s="17">
        <f>D19/12</f>
        <v>153955.16666666666</v>
      </c>
      <c r="E26" s="17">
        <f>(E19+F19+G19)/12</f>
        <v>2771.3333333333335</v>
      </c>
    </row>
    <row r="27" spans="1:11" ht="15.75" x14ac:dyDescent="0.25">
      <c r="A27" s="2">
        <v>13</v>
      </c>
      <c r="B27" s="2" t="s">
        <v>31</v>
      </c>
      <c r="C27" s="17"/>
      <c r="D27" s="17">
        <f>D13</f>
        <v>119446617</v>
      </c>
      <c r="E27" s="17">
        <f>E13+F13+G13</f>
        <v>52067051</v>
      </c>
    </row>
    <row r="28" spans="1:11" ht="15.75" x14ac:dyDescent="0.25">
      <c r="A28" s="2">
        <v>14</v>
      </c>
      <c r="B28" s="2" t="s">
        <v>32</v>
      </c>
      <c r="C28" s="9"/>
      <c r="D28" s="9">
        <f>D21</f>
        <v>17550889</v>
      </c>
      <c r="E28" s="9">
        <f>E21+F21+G21</f>
        <v>3273236.87</v>
      </c>
      <c r="F28" s="34"/>
    </row>
    <row r="29" spans="1:11" ht="15.75" x14ac:dyDescent="0.25">
      <c r="A29" s="2">
        <v>15</v>
      </c>
      <c r="B29" s="2" t="s">
        <v>33</v>
      </c>
      <c r="C29" s="17"/>
      <c r="D29" s="17">
        <f>D19</f>
        <v>1847462</v>
      </c>
      <c r="E29" s="17">
        <f>E19+F19+G19</f>
        <v>33256</v>
      </c>
      <c r="F29" s="34"/>
    </row>
    <row r="30" spans="1:11" ht="15.75" x14ac:dyDescent="0.25">
      <c r="A30" s="2">
        <v>16</v>
      </c>
      <c r="B30" s="2" t="s">
        <v>34</v>
      </c>
      <c r="C30" s="9"/>
      <c r="D30" s="35">
        <f>D28/D29</f>
        <v>9.5</v>
      </c>
      <c r="E30" s="35">
        <f>E28/E29</f>
        <v>98.425453151311046</v>
      </c>
      <c r="F30" s="34"/>
    </row>
    <row r="31" spans="1:11" x14ac:dyDescent="0.25">
      <c r="D31" s="34"/>
    </row>
    <row r="32" spans="1:11" x14ac:dyDescent="0.25">
      <c r="D32" s="34"/>
    </row>
    <row r="33" spans="1:6" ht="18.75" x14ac:dyDescent="0.3">
      <c r="A33" s="36" t="s">
        <v>169</v>
      </c>
      <c r="B33" s="37"/>
      <c r="D33" s="34"/>
    </row>
    <row r="34" spans="1:6" x14ac:dyDescent="0.25">
      <c r="D34" s="34"/>
    </row>
    <row r="35" spans="1:6" x14ac:dyDescent="0.25">
      <c r="D35" s="34"/>
    </row>
    <row r="36" spans="1:6" x14ac:dyDescent="0.25">
      <c r="C36" t="s">
        <v>36</v>
      </c>
      <c r="D36" s="38"/>
      <c r="F36" s="38"/>
    </row>
    <row r="37" spans="1:6" x14ac:dyDescent="0.25">
      <c r="C37" t="s">
        <v>37</v>
      </c>
      <c r="D37" s="39">
        <f>D23/D13</f>
        <v>0.40526983698500224</v>
      </c>
      <c r="E37" s="39">
        <f>E23/E13</f>
        <v>0.24763247804249774</v>
      </c>
      <c r="F37" s="39">
        <f>F23/F13</f>
        <v>0.22680068261823896</v>
      </c>
    </row>
    <row r="38" spans="1:6" x14ac:dyDescent="0.25">
      <c r="C38" t="s">
        <v>38</v>
      </c>
      <c r="D38" s="39">
        <f>D37+D14</f>
        <v>0.40526983698500224</v>
      </c>
      <c r="E38" s="39">
        <f>E37+E14</f>
        <v>0.24763247804249774</v>
      </c>
      <c r="F38" s="39">
        <f>F37+F14</f>
        <v>0.22680068261823896</v>
      </c>
    </row>
  </sheetData>
  <mergeCells count="5">
    <mergeCell ref="A3:I3"/>
    <mergeCell ref="A4:I4"/>
    <mergeCell ref="H22:I23"/>
    <mergeCell ref="A1:I1"/>
    <mergeCell ref="A2:I2"/>
  </mergeCells>
  <pageMargins left="0.7" right="0.7" top="0.75" bottom="0.75" header="0.3" footer="0.3"/>
  <pageSetup scale="58"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A779-3E54-4758-945D-D8F3142BCDF3}">
  <sheetPr>
    <pageSetUpPr fitToPage="1"/>
  </sheetPr>
  <dimension ref="A1:E26"/>
  <sheetViews>
    <sheetView view="pageBreakPreview" zoomScale="60" zoomScaleNormal="100" workbookViewId="0">
      <selection activeCell="I25" sqref="I25"/>
    </sheetView>
  </sheetViews>
  <sheetFormatPr defaultRowHeight="15" x14ac:dyDescent="0.25"/>
  <cols>
    <col min="1" max="1" width="26.140625" bestFit="1" customWidth="1"/>
    <col min="2" max="2" width="51.140625" bestFit="1" customWidth="1"/>
    <col min="3" max="3" width="26.85546875" bestFit="1" customWidth="1"/>
    <col min="4" max="5" width="17" bestFit="1" customWidth="1"/>
  </cols>
  <sheetData>
    <row r="1" spans="1:5" ht="15.75" x14ac:dyDescent="0.25">
      <c r="A1" s="173" t="s">
        <v>0</v>
      </c>
      <c r="B1" s="173"/>
      <c r="C1" s="173"/>
      <c r="D1" s="173"/>
      <c r="E1" s="173"/>
    </row>
    <row r="2" spans="1:5" ht="15.75" x14ac:dyDescent="0.25">
      <c r="A2" s="173" t="s">
        <v>1</v>
      </c>
      <c r="B2" s="173"/>
      <c r="C2" s="173"/>
      <c r="D2" s="173"/>
      <c r="E2" s="173"/>
    </row>
    <row r="3" spans="1:5" ht="15.75" x14ac:dyDescent="0.25">
      <c r="A3" s="169" t="s">
        <v>39</v>
      </c>
      <c r="B3" s="169"/>
      <c r="C3" s="169"/>
      <c r="D3" s="169"/>
      <c r="E3" s="169"/>
    </row>
    <row r="4" spans="1:5" ht="15.75" x14ac:dyDescent="0.25">
      <c r="A4" s="165" t="str">
        <f>'Pg 3 UG-170486 Auth-1'!A4</f>
        <v>Washington Docket No. UG-170486 Compliance Filing</v>
      </c>
      <c r="B4" s="165"/>
      <c r="C4" s="165"/>
      <c r="D4" s="165"/>
      <c r="E4" s="165"/>
    </row>
    <row r="5" spans="1:5" ht="15.75" x14ac:dyDescent="0.25">
      <c r="A5" s="40"/>
      <c r="B5" s="40"/>
      <c r="C5" s="40"/>
      <c r="D5" s="40"/>
      <c r="E5" s="40"/>
    </row>
    <row r="6" spans="1:5" ht="78.75" x14ac:dyDescent="0.25">
      <c r="A6" s="41" t="s">
        <v>40</v>
      </c>
      <c r="B6" s="42"/>
      <c r="C6" s="41" t="s">
        <v>41</v>
      </c>
      <c r="D6" s="41" t="s">
        <v>42</v>
      </c>
      <c r="E6" s="41" t="s">
        <v>43</v>
      </c>
    </row>
    <row r="7" spans="1:5" ht="15.75" x14ac:dyDescent="0.25">
      <c r="A7" s="40"/>
      <c r="B7" s="43" t="s">
        <v>44</v>
      </c>
      <c r="C7" s="43" t="s">
        <v>45</v>
      </c>
      <c r="D7" s="43" t="s">
        <v>46</v>
      </c>
      <c r="E7" s="43" t="s">
        <v>47</v>
      </c>
    </row>
    <row r="8" spans="1:5" ht="15.75" x14ac:dyDescent="0.25">
      <c r="A8" s="43"/>
      <c r="B8" s="44"/>
      <c r="C8" s="43"/>
      <c r="D8" s="43"/>
      <c r="E8" s="43"/>
    </row>
    <row r="9" spans="1:5" ht="15.75" x14ac:dyDescent="0.25">
      <c r="A9" s="43">
        <v>1</v>
      </c>
      <c r="B9" s="44" t="s">
        <v>48</v>
      </c>
      <c r="C9" s="43" t="s">
        <v>35</v>
      </c>
      <c r="D9" s="45">
        <f>'Pg 3 UG-170486 Auth-1'!D23</f>
        <v>48408111</v>
      </c>
      <c r="E9" s="45">
        <f>SUM('Pg 3 UG-170486 Auth-1'!E23:G23)</f>
        <v>12807763.130000001</v>
      </c>
    </row>
    <row r="10" spans="1:5" ht="15.75" x14ac:dyDescent="0.25">
      <c r="A10" s="43"/>
      <c r="B10" s="44"/>
      <c r="C10" s="43"/>
      <c r="D10" s="43"/>
      <c r="E10" s="43"/>
    </row>
    <row r="11" spans="1:5" ht="15.75" x14ac:dyDescent="0.25">
      <c r="A11" s="43">
        <v>2</v>
      </c>
      <c r="B11" s="40" t="s">
        <v>49</v>
      </c>
      <c r="C11" s="43" t="s">
        <v>50</v>
      </c>
      <c r="D11" s="46">
        <f>'Pg 3 UG-170486 Auth-1'!D26</f>
        <v>153955.16666666666</v>
      </c>
      <c r="E11" s="46">
        <f>'Pg 3 UG-170486 Auth-1'!E26</f>
        <v>2771.3333333333335</v>
      </c>
    </row>
    <row r="12" spans="1:5" ht="15.75" x14ac:dyDescent="0.25">
      <c r="A12" s="43"/>
      <c r="B12" s="44"/>
      <c r="C12" s="43"/>
      <c r="D12" s="43"/>
      <c r="E12" s="43"/>
    </row>
    <row r="13" spans="1:5" ht="15.75" x14ac:dyDescent="0.25">
      <c r="A13" s="43">
        <v>3</v>
      </c>
      <c r="B13" s="44" t="s">
        <v>51</v>
      </c>
      <c r="C13" s="43" t="str">
        <f>"("&amp;A9&amp;") / ("&amp;'Pg 3 UG-170486 Auth-1'!A$11&amp;")"</f>
        <v>(1) / (3)</v>
      </c>
      <c r="D13" s="47">
        <f>ROUND(D9/D11,2)</f>
        <v>314.43</v>
      </c>
      <c r="E13" s="47">
        <f>ROUND(E9/E11,2)</f>
        <v>4621.5200000000004</v>
      </c>
    </row>
    <row r="14" spans="1:5" ht="15.75" x14ac:dyDescent="0.25">
      <c r="A14" s="43"/>
      <c r="B14" s="44"/>
      <c r="C14" s="43"/>
      <c r="D14" s="43"/>
      <c r="E14" s="43"/>
    </row>
    <row r="15" spans="1:5" ht="15.75" x14ac:dyDescent="0.25">
      <c r="A15" s="43"/>
      <c r="B15" s="44"/>
      <c r="C15" s="43"/>
      <c r="D15" s="43"/>
      <c r="E15" s="43"/>
    </row>
    <row r="16" spans="1:5" ht="15.75" x14ac:dyDescent="0.25">
      <c r="A16" s="43"/>
      <c r="B16" s="48" t="s">
        <v>52</v>
      </c>
      <c r="C16" s="40"/>
      <c r="D16" s="49"/>
      <c r="E16" s="49"/>
    </row>
    <row r="17" spans="1:5" ht="15.75" x14ac:dyDescent="0.25">
      <c r="A17" s="43"/>
      <c r="B17" s="48" t="s">
        <v>53</v>
      </c>
      <c r="C17" s="40"/>
      <c r="D17" s="40"/>
      <c r="E17" s="40"/>
    </row>
    <row r="18" spans="1:5" ht="15.75" x14ac:dyDescent="0.25">
      <c r="A18" s="30"/>
      <c r="B18" s="30"/>
      <c r="C18" s="30"/>
      <c r="D18" s="30"/>
      <c r="E18" s="30"/>
    </row>
    <row r="19" spans="1:5" ht="15.75" x14ac:dyDescent="0.25">
      <c r="A19" s="30"/>
      <c r="B19" s="30"/>
      <c r="C19" s="30"/>
      <c r="D19" s="30"/>
      <c r="E19" s="30"/>
    </row>
    <row r="20" spans="1:5" ht="18.75" x14ac:dyDescent="0.3">
      <c r="A20" s="36" t="s">
        <v>168</v>
      </c>
      <c r="B20" s="30"/>
      <c r="C20" s="30"/>
      <c r="D20" s="30"/>
      <c r="E20" s="30"/>
    </row>
    <row r="21" spans="1:5" ht="15.75" x14ac:dyDescent="0.25">
      <c r="A21" s="30"/>
      <c r="B21" s="30"/>
      <c r="C21" s="30"/>
      <c r="D21" s="30"/>
      <c r="E21" s="30"/>
    </row>
    <row r="22" spans="1:5" ht="15.75" x14ac:dyDescent="0.25">
      <c r="A22" s="30"/>
      <c r="B22" s="30"/>
      <c r="C22" s="50" t="s">
        <v>54</v>
      </c>
      <c r="D22" s="30"/>
      <c r="E22" s="30"/>
    </row>
    <row r="23" spans="1:5" ht="15.75" x14ac:dyDescent="0.25">
      <c r="A23" s="30"/>
      <c r="B23" s="30"/>
      <c r="C23" s="50" t="s">
        <v>55</v>
      </c>
      <c r="D23" s="51">
        <f>D13*D11</f>
        <v>48408123.055</v>
      </c>
      <c r="E23" s="51">
        <f>E13*E11</f>
        <v>12807772.426666668</v>
      </c>
    </row>
    <row r="24" spans="1:5" ht="15.75" x14ac:dyDescent="0.25">
      <c r="A24" s="30"/>
      <c r="B24" s="30"/>
      <c r="C24" s="50" t="s">
        <v>56</v>
      </c>
      <c r="D24" s="51">
        <f>'Pg 3 UG-170486 Auth-1'!D28</f>
        <v>17550889</v>
      </c>
      <c r="E24" s="51">
        <f>'Pg 3 UG-170486 Auth-1'!E28</f>
        <v>3273236.87</v>
      </c>
    </row>
    <row r="25" spans="1:5" ht="15.75" x14ac:dyDescent="0.25">
      <c r="A25" s="30"/>
      <c r="B25" s="30"/>
      <c r="C25" s="50" t="s">
        <v>57</v>
      </c>
      <c r="D25" s="51">
        <f>'Pg 3 UG-170486 Auth-1'!D15</f>
        <v>0</v>
      </c>
      <c r="E25" s="51">
        <f>SUM('Pg 3 UG-170486 Auth-1'!E15:G15)</f>
        <v>0</v>
      </c>
    </row>
    <row r="26" spans="1:5" ht="15.75" x14ac:dyDescent="0.25">
      <c r="A26" s="30"/>
      <c r="B26" s="30"/>
      <c r="C26" s="50" t="s">
        <v>58</v>
      </c>
      <c r="D26" s="52">
        <f>SUM(D23:D25)</f>
        <v>65959012.055</v>
      </c>
      <c r="E26" s="52">
        <f>SUM(E23:E25)</f>
        <v>16081009.296666667</v>
      </c>
    </row>
  </sheetData>
  <mergeCells count="4">
    <mergeCell ref="A1:E1"/>
    <mergeCell ref="A2:E2"/>
    <mergeCell ref="A3:E3"/>
    <mergeCell ref="A4:E4"/>
  </mergeCells>
  <pageMargins left="0.7" right="0.7" top="0.75" bottom="0.75" header="0.3" footer="0.3"/>
  <pageSetup scale="8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745D-B96E-41B0-A3A8-F477364D49B0}">
  <sheetPr>
    <pageSetUpPr fitToPage="1"/>
  </sheetPr>
  <dimension ref="A1:P30"/>
  <sheetViews>
    <sheetView view="pageBreakPreview" zoomScale="60" zoomScaleNormal="100" workbookViewId="0">
      <selection activeCell="G37" sqref="G37"/>
    </sheetView>
  </sheetViews>
  <sheetFormatPr defaultRowHeight="15" x14ac:dyDescent="0.25"/>
  <cols>
    <col min="2" max="2" width="42.7109375" bestFit="1" customWidth="1"/>
    <col min="3" max="3" width="18.28515625" bestFit="1" customWidth="1"/>
    <col min="4" max="4" width="12.5703125" bestFit="1" customWidth="1"/>
    <col min="5" max="5" width="12.28515625" bestFit="1" customWidth="1"/>
    <col min="6" max="6" width="13" bestFit="1" customWidth="1"/>
    <col min="7" max="7" width="11.85546875" bestFit="1" customWidth="1"/>
    <col min="8" max="9" width="12.28515625" bestFit="1" customWidth="1"/>
    <col min="10" max="10" width="11.85546875" bestFit="1" customWidth="1"/>
    <col min="11" max="13" width="12.28515625" bestFit="1" customWidth="1"/>
    <col min="14" max="15" width="13" bestFit="1" customWidth="1"/>
    <col min="16" max="16" width="11.5703125" bestFit="1" customWidth="1"/>
  </cols>
  <sheetData>
    <row r="1" spans="1:16" ht="18.75" x14ac:dyDescent="0.3">
      <c r="A1" s="174" t="s">
        <v>0</v>
      </c>
      <c r="B1" s="174"/>
      <c r="C1" s="174"/>
      <c r="D1" s="174"/>
      <c r="E1" s="174"/>
      <c r="F1" s="174"/>
      <c r="G1" s="174"/>
      <c r="H1" s="174"/>
      <c r="I1" s="174"/>
      <c r="J1" s="174"/>
      <c r="K1" s="174"/>
      <c r="L1" s="174"/>
      <c r="M1" s="174"/>
      <c r="N1" s="174"/>
      <c r="O1" s="174"/>
      <c r="P1" s="174"/>
    </row>
    <row r="2" spans="1:16" ht="18.75" x14ac:dyDescent="0.3">
      <c r="A2" s="174" t="str">
        <f>'Pg 3 UG-170486 Auth-1'!A2</f>
        <v>Natural Gas Decoupling Mechanism</v>
      </c>
      <c r="B2" s="174"/>
      <c r="C2" s="174"/>
      <c r="D2" s="174"/>
      <c r="E2" s="174"/>
      <c r="F2" s="174"/>
      <c r="G2" s="174"/>
      <c r="H2" s="174"/>
      <c r="I2" s="174"/>
      <c r="J2" s="174"/>
      <c r="K2" s="174"/>
      <c r="L2" s="174"/>
      <c r="M2" s="174"/>
      <c r="N2" s="174"/>
      <c r="O2" s="174"/>
      <c r="P2" s="174"/>
    </row>
    <row r="3" spans="1:16" ht="18.75" x14ac:dyDescent="0.3">
      <c r="A3" s="175" t="s">
        <v>60</v>
      </c>
      <c r="B3" s="174"/>
      <c r="C3" s="174"/>
      <c r="D3" s="174"/>
      <c r="E3" s="174"/>
      <c r="F3" s="174"/>
      <c r="G3" s="174"/>
      <c r="H3" s="174"/>
      <c r="I3" s="174"/>
      <c r="J3" s="174"/>
      <c r="K3" s="174"/>
      <c r="L3" s="174"/>
      <c r="M3" s="174"/>
      <c r="N3" s="174"/>
      <c r="O3" s="174"/>
      <c r="P3" s="174"/>
    </row>
    <row r="4" spans="1:16" ht="18.75" x14ac:dyDescent="0.3">
      <c r="A4" s="174" t="str">
        <f>'Pg 3 UG-170486 Auth-1'!A4</f>
        <v>Washington Docket No. UG-170486 Compliance Filing</v>
      </c>
      <c r="B4" s="174"/>
      <c r="C4" s="174"/>
      <c r="D4" s="174"/>
      <c r="E4" s="174"/>
      <c r="F4" s="174"/>
      <c r="G4" s="174"/>
      <c r="H4" s="174"/>
      <c r="I4" s="174"/>
      <c r="J4" s="174"/>
      <c r="K4" s="174"/>
      <c r="L4" s="174"/>
      <c r="M4" s="174"/>
      <c r="N4" s="174"/>
      <c r="O4" s="174"/>
      <c r="P4" s="174"/>
    </row>
    <row r="5" spans="1:16" x14ac:dyDescent="0.25">
      <c r="A5" s="55"/>
      <c r="B5" s="55"/>
      <c r="C5" s="56"/>
      <c r="D5" s="56"/>
      <c r="E5" s="56"/>
      <c r="F5" s="56"/>
      <c r="G5" s="56"/>
      <c r="H5" s="55"/>
      <c r="I5" s="55"/>
      <c r="J5" s="55"/>
      <c r="K5" s="55"/>
      <c r="L5" s="55"/>
      <c r="M5" s="55"/>
      <c r="N5" s="55"/>
      <c r="O5" s="55"/>
      <c r="P5" s="55"/>
    </row>
    <row r="6" spans="1:16" x14ac:dyDescent="0.25">
      <c r="A6" s="57" t="s">
        <v>40</v>
      </c>
      <c r="B6" s="58"/>
      <c r="C6" s="59" t="s">
        <v>41</v>
      </c>
      <c r="D6" s="60" t="s">
        <v>61</v>
      </c>
      <c r="E6" s="60" t="s">
        <v>62</v>
      </c>
      <c r="F6" s="60" t="s">
        <v>63</v>
      </c>
      <c r="G6" s="60" t="s">
        <v>64</v>
      </c>
      <c r="H6" s="60" t="s">
        <v>65</v>
      </c>
      <c r="I6" s="60" t="s">
        <v>66</v>
      </c>
      <c r="J6" s="60" t="s">
        <v>67</v>
      </c>
      <c r="K6" s="60" t="s">
        <v>68</v>
      </c>
      <c r="L6" s="60" t="s">
        <v>69</v>
      </c>
      <c r="M6" s="60" t="s">
        <v>70</v>
      </c>
      <c r="N6" s="60" t="s">
        <v>71</v>
      </c>
      <c r="O6" s="60" t="s">
        <v>72</v>
      </c>
      <c r="P6" s="57" t="s">
        <v>10</v>
      </c>
    </row>
    <row r="7" spans="1:16" x14ac:dyDescent="0.25">
      <c r="A7" s="55"/>
      <c r="B7" s="56" t="s">
        <v>44</v>
      </c>
      <c r="C7" s="56" t="s">
        <v>45</v>
      </c>
      <c r="D7" s="56" t="s">
        <v>46</v>
      </c>
      <c r="E7" s="56" t="s">
        <v>47</v>
      </c>
      <c r="F7" s="56" t="s">
        <v>73</v>
      </c>
      <c r="G7" s="56" t="s">
        <v>74</v>
      </c>
      <c r="H7" s="56" t="s">
        <v>75</v>
      </c>
      <c r="I7" s="56" t="s">
        <v>76</v>
      </c>
      <c r="J7" s="56" t="s">
        <v>77</v>
      </c>
      <c r="K7" s="56" t="s">
        <v>78</v>
      </c>
      <c r="L7" s="56" t="s">
        <v>79</v>
      </c>
      <c r="M7" s="56" t="s">
        <v>80</v>
      </c>
      <c r="N7" s="56" t="s">
        <v>81</v>
      </c>
      <c r="O7" s="56" t="s">
        <v>82</v>
      </c>
      <c r="P7" s="56" t="s">
        <v>83</v>
      </c>
    </row>
    <row r="8" spans="1:16" x14ac:dyDescent="0.25">
      <c r="A8" s="56">
        <v>1</v>
      </c>
      <c r="B8" s="61"/>
      <c r="C8" s="56"/>
      <c r="D8" s="56"/>
      <c r="E8" s="56"/>
      <c r="F8" s="56"/>
      <c r="G8" s="56"/>
      <c r="H8" s="56"/>
      <c r="I8" s="56"/>
      <c r="J8" s="55"/>
      <c r="K8" s="55"/>
      <c r="L8" s="55"/>
      <c r="M8" s="55"/>
      <c r="N8" s="55"/>
      <c r="O8" s="55"/>
      <c r="P8" s="55"/>
    </row>
    <row r="9" spans="1:16" x14ac:dyDescent="0.25">
      <c r="A9" s="56">
        <f t="shared" ref="A9:A28" si="0">A8+1</f>
        <v>2</v>
      </c>
      <c r="B9" s="62" t="s">
        <v>84</v>
      </c>
      <c r="C9" s="56"/>
      <c r="D9" s="55"/>
      <c r="E9" s="55"/>
      <c r="F9" s="55"/>
      <c r="G9" s="55"/>
      <c r="H9" s="63"/>
      <c r="I9" s="63"/>
      <c r="J9" s="55"/>
      <c r="K9" s="55"/>
      <c r="L9" s="55"/>
      <c r="M9" s="55"/>
      <c r="N9" s="55"/>
      <c r="O9" s="55"/>
      <c r="P9" s="64"/>
    </row>
    <row r="10" spans="1:16" x14ac:dyDescent="0.25">
      <c r="A10" s="56">
        <f t="shared" si="0"/>
        <v>3</v>
      </c>
      <c r="B10" s="65" t="s">
        <v>85</v>
      </c>
      <c r="C10" s="56"/>
      <c r="D10" s="55"/>
      <c r="E10" s="55"/>
      <c r="F10" s="55"/>
      <c r="G10" s="55"/>
      <c r="H10" s="55"/>
      <c r="I10" s="55"/>
      <c r="J10" s="55"/>
      <c r="K10" s="55"/>
      <c r="L10" s="55"/>
      <c r="M10" s="55"/>
      <c r="N10" s="55"/>
      <c r="O10" s="55"/>
      <c r="P10" s="64"/>
    </row>
    <row r="11" spans="1:16" x14ac:dyDescent="0.25">
      <c r="A11" s="56">
        <f t="shared" si="0"/>
        <v>4</v>
      </c>
      <c r="B11" s="66" t="s">
        <v>86</v>
      </c>
      <c r="C11" s="56" t="s">
        <v>87</v>
      </c>
      <c r="D11" s="67">
        <v>21124002.23914</v>
      </c>
      <c r="E11" s="67">
        <v>16814800.765939999</v>
      </c>
      <c r="F11" s="67">
        <v>13702397.229009999</v>
      </c>
      <c r="G11" s="67">
        <v>8379182.4339899998</v>
      </c>
      <c r="H11" s="67">
        <v>4880475.12</v>
      </c>
      <c r="I11" s="67">
        <v>3154867.2390000001</v>
      </c>
      <c r="J11" s="67">
        <v>2296192.6940000001</v>
      </c>
      <c r="K11" s="67">
        <v>2357533.6895300001</v>
      </c>
      <c r="L11" s="67">
        <v>3002763.5796699999</v>
      </c>
      <c r="M11" s="67">
        <v>7503054.3530000001</v>
      </c>
      <c r="N11" s="67">
        <v>14548063.854</v>
      </c>
      <c r="O11" s="67">
        <v>21683284.129999999</v>
      </c>
      <c r="P11" s="68">
        <f>SUM(D11:O11)</f>
        <v>119446617.32728</v>
      </c>
    </row>
    <row r="12" spans="1:16" x14ac:dyDescent="0.25">
      <c r="A12" s="56">
        <f t="shared" si="0"/>
        <v>5</v>
      </c>
      <c r="B12" s="55" t="s">
        <v>88</v>
      </c>
      <c r="C12" s="69" t="s">
        <v>89</v>
      </c>
      <c r="D12" s="70">
        <f t="shared" ref="D12:O12" si="1">D11/$P11</f>
        <v>0.17684889460922024</v>
      </c>
      <c r="E12" s="70">
        <f t="shared" si="1"/>
        <v>0.14077251530587903</v>
      </c>
      <c r="F12" s="70">
        <f t="shared" si="1"/>
        <v>0.11471565738413386</v>
      </c>
      <c r="G12" s="70">
        <f t="shared" si="1"/>
        <v>7.0150018656713414E-2</v>
      </c>
      <c r="H12" s="70">
        <f t="shared" si="1"/>
        <v>4.0859048411790944E-2</v>
      </c>
      <c r="I12" s="70">
        <f t="shared" si="1"/>
        <v>2.6412361518415899E-2</v>
      </c>
      <c r="J12" s="70">
        <f t="shared" si="1"/>
        <v>1.9223589126082189E-2</v>
      </c>
      <c r="K12" s="70">
        <f t="shared" si="1"/>
        <v>1.9737132304638076E-2</v>
      </c>
      <c r="L12" s="70">
        <f t="shared" si="1"/>
        <v>2.5138958698533265E-2</v>
      </c>
      <c r="M12" s="70">
        <f t="shared" si="1"/>
        <v>6.2815126295639373E-2</v>
      </c>
      <c r="N12" s="70">
        <f t="shared" si="1"/>
        <v>0.12179552824119548</v>
      </c>
      <c r="O12" s="70">
        <f t="shared" si="1"/>
        <v>0.18153116944775821</v>
      </c>
      <c r="P12" s="70">
        <f>SUM(D12:O12)</f>
        <v>0.99999999999999978</v>
      </c>
    </row>
    <row r="13" spans="1:16" x14ac:dyDescent="0.25">
      <c r="A13" s="56">
        <f t="shared" si="0"/>
        <v>6</v>
      </c>
      <c r="B13" s="55"/>
      <c r="C13" s="71"/>
      <c r="D13" s="72"/>
      <c r="E13" s="72"/>
      <c r="F13" s="72"/>
      <c r="G13" s="72"/>
      <c r="H13" s="72"/>
      <c r="I13" s="72"/>
      <c r="J13" s="72"/>
      <c r="K13" s="72"/>
      <c r="L13" s="72"/>
      <c r="M13" s="72"/>
      <c r="N13" s="72"/>
      <c r="O13" s="72"/>
      <c r="P13" s="72"/>
    </row>
    <row r="14" spans="1:16" x14ac:dyDescent="0.25">
      <c r="A14" s="56">
        <f t="shared" si="0"/>
        <v>7</v>
      </c>
      <c r="B14" s="65" t="s">
        <v>90</v>
      </c>
      <c r="C14" s="72"/>
      <c r="D14" s="72"/>
      <c r="E14" s="72"/>
      <c r="F14" s="72"/>
      <c r="G14" s="72"/>
      <c r="H14" s="72"/>
      <c r="I14" s="72"/>
      <c r="J14" s="72"/>
      <c r="K14" s="72"/>
      <c r="L14" s="72"/>
      <c r="M14" s="72"/>
      <c r="N14" s="72"/>
      <c r="O14" s="72"/>
      <c r="P14" s="72"/>
    </row>
    <row r="15" spans="1:16" x14ac:dyDescent="0.25">
      <c r="A15" s="56">
        <f t="shared" si="0"/>
        <v>8</v>
      </c>
      <c r="B15" s="66" t="s">
        <v>86</v>
      </c>
      <c r="C15" s="56" t="s">
        <v>87</v>
      </c>
      <c r="D15" s="67">
        <v>7263563.9881800003</v>
      </c>
      <c r="E15" s="67">
        <v>6455069.4630899997</v>
      </c>
      <c r="F15" s="67">
        <v>5655267.9929999998</v>
      </c>
      <c r="G15" s="67">
        <v>3958870.5409999997</v>
      </c>
      <c r="H15" s="67">
        <v>3051971.94</v>
      </c>
      <c r="I15" s="67">
        <v>2050064.5120000003</v>
      </c>
      <c r="J15" s="67">
        <v>1757089.7820000001</v>
      </c>
      <c r="K15" s="67">
        <v>1837589.2420000001</v>
      </c>
      <c r="L15" s="67">
        <v>2247269.2370000002</v>
      </c>
      <c r="M15" s="67">
        <v>4164397.9169999999</v>
      </c>
      <c r="N15" s="67">
        <v>5571303.8330000006</v>
      </c>
      <c r="O15" s="67">
        <v>8054592.7859999994</v>
      </c>
      <c r="P15" s="68">
        <f>SUM(D15:O15)</f>
        <v>52067051.234270006</v>
      </c>
    </row>
    <row r="16" spans="1:16" x14ac:dyDescent="0.25">
      <c r="A16" s="56">
        <f t="shared" si="0"/>
        <v>9</v>
      </c>
      <c r="B16" s="55" t="s">
        <v>88</v>
      </c>
      <c r="C16" s="69" t="s">
        <v>89</v>
      </c>
      <c r="D16" s="73">
        <f t="shared" ref="D16:O16" si="2">D15/$P15</f>
        <v>0.13950403981009771</v>
      </c>
      <c r="E16" s="73">
        <f t="shared" si="2"/>
        <v>0.12397609063832173</v>
      </c>
      <c r="F16" s="73">
        <f t="shared" si="2"/>
        <v>0.10861510031660405</v>
      </c>
      <c r="G16" s="73">
        <f t="shared" si="2"/>
        <v>7.6034083881330136E-2</v>
      </c>
      <c r="H16" s="73">
        <f t="shared" si="2"/>
        <v>5.8616185623187794E-2</v>
      </c>
      <c r="I16" s="73">
        <f t="shared" si="2"/>
        <v>3.9373547443198945E-2</v>
      </c>
      <c r="J16" s="73">
        <f t="shared" si="2"/>
        <v>3.3746673574698259E-2</v>
      </c>
      <c r="K16" s="73">
        <f t="shared" si="2"/>
        <v>3.5292746534309541E-2</v>
      </c>
      <c r="L16" s="73">
        <f t="shared" si="2"/>
        <v>4.3161062202056691E-2</v>
      </c>
      <c r="M16" s="73">
        <f t="shared" si="2"/>
        <v>7.9981443509499831E-2</v>
      </c>
      <c r="N16" s="73">
        <f t="shared" si="2"/>
        <v>0.10700248431455293</v>
      </c>
      <c r="O16" s="73">
        <f t="shared" si="2"/>
        <v>0.15469654215214224</v>
      </c>
      <c r="P16" s="73">
        <f>SUM(D16:O16)</f>
        <v>1</v>
      </c>
    </row>
    <row r="17" spans="1:16" x14ac:dyDescent="0.25">
      <c r="A17" s="56">
        <f t="shared" si="0"/>
        <v>10</v>
      </c>
      <c r="B17" s="55"/>
      <c r="C17" s="56"/>
      <c r="D17" s="73"/>
      <c r="E17" s="64"/>
      <c r="F17" s="64"/>
      <c r="G17" s="64"/>
      <c r="H17" s="64"/>
      <c r="I17" s="64"/>
      <c r="J17" s="64"/>
      <c r="K17" s="64"/>
      <c r="L17" s="64"/>
      <c r="M17" s="64"/>
      <c r="N17" s="64"/>
      <c r="O17" s="64"/>
      <c r="P17" s="64"/>
    </row>
    <row r="18" spans="1:16" x14ac:dyDescent="0.25">
      <c r="A18" s="56">
        <f t="shared" si="0"/>
        <v>11</v>
      </c>
      <c r="B18" s="62" t="s">
        <v>91</v>
      </c>
      <c r="C18" s="56"/>
      <c r="D18" s="73"/>
      <c r="E18" s="64"/>
      <c r="F18" s="64"/>
      <c r="G18" s="64"/>
      <c r="H18" s="64"/>
      <c r="I18" s="64"/>
      <c r="J18" s="64"/>
      <c r="K18" s="64"/>
      <c r="L18" s="64"/>
      <c r="M18" s="64"/>
      <c r="N18" s="64"/>
      <c r="O18" s="64"/>
      <c r="P18" s="64"/>
    </row>
    <row r="19" spans="1:16" x14ac:dyDescent="0.25">
      <c r="A19" s="56">
        <f t="shared" si="0"/>
        <v>12</v>
      </c>
      <c r="B19" s="65" t="s">
        <v>85</v>
      </c>
      <c r="C19" s="56"/>
      <c r="D19" s="73"/>
      <c r="E19" s="55"/>
      <c r="F19" s="55"/>
      <c r="G19" s="55"/>
      <c r="H19" s="55"/>
      <c r="I19" s="55"/>
      <c r="J19" s="55"/>
      <c r="K19" s="55"/>
      <c r="L19" s="55"/>
      <c r="M19" s="55"/>
      <c r="N19" s="55"/>
      <c r="O19" s="55"/>
      <c r="P19" s="55"/>
    </row>
    <row r="20" spans="1:16" x14ac:dyDescent="0.25">
      <c r="A20" s="56">
        <f t="shared" si="0"/>
        <v>13</v>
      </c>
      <c r="B20" s="55" t="s">
        <v>92</v>
      </c>
      <c r="C20" s="56" t="s">
        <v>93</v>
      </c>
      <c r="D20" s="55"/>
      <c r="E20" s="55"/>
      <c r="F20" s="55"/>
      <c r="G20" s="55"/>
      <c r="H20" s="55"/>
      <c r="I20" s="55"/>
      <c r="J20" s="55"/>
      <c r="K20" s="55"/>
      <c r="L20" s="55"/>
      <c r="M20" s="55"/>
      <c r="N20" s="55"/>
      <c r="O20" s="55"/>
      <c r="P20" s="74">
        <f>'Pg 4 UG-170486 Auth-2'!D13</f>
        <v>314.43</v>
      </c>
    </row>
    <row r="21" spans="1:16" x14ac:dyDescent="0.25">
      <c r="A21" s="56">
        <f t="shared" si="0"/>
        <v>14</v>
      </c>
      <c r="B21" s="55" t="s">
        <v>94</v>
      </c>
      <c r="C21" s="56" t="str">
        <f>"("&amp;'Pg 3 UG-170486 Auth-1'!A$12&amp;") x ("&amp;A20&amp;")"</f>
        <v>() x (13)</v>
      </c>
      <c r="D21" s="75">
        <f t="shared" ref="D21:O21" si="3">$P20*D$12</f>
        <v>55.60659793197712</v>
      </c>
      <c r="E21" s="75">
        <f t="shared" si="3"/>
        <v>44.263101987627543</v>
      </c>
      <c r="F21" s="75">
        <f t="shared" si="3"/>
        <v>36.07004415129321</v>
      </c>
      <c r="G21" s="75">
        <f t="shared" si="3"/>
        <v>22.057270366230398</v>
      </c>
      <c r="H21" s="75">
        <f t="shared" si="3"/>
        <v>12.847310592119427</v>
      </c>
      <c r="I21" s="75">
        <f t="shared" si="3"/>
        <v>8.3048388322355109</v>
      </c>
      <c r="J21" s="75">
        <f t="shared" si="3"/>
        <v>6.0444731289140226</v>
      </c>
      <c r="K21" s="75">
        <f t="shared" si="3"/>
        <v>6.2059465105473501</v>
      </c>
      <c r="L21" s="75">
        <f t="shared" si="3"/>
        <v>7.9044427835798148</v>
      </c>
      <c r="M21" s="75">
        <f t="shared" si="3"/>
        <v>19.75096016113789</v>
      </c>
      <c r="N21" s="75">
        <f t="shared" si="3"/>
        <v>38.296167944879095</v>
      </c>
      <c r="O21" s="75">
        <f t="shared" si="3"/>
        <v>57.078845609458618</v>
      </c>
      <c r="P21" s="74">
        <f>SUM(D21:O21)</f>
        <v>314.43</v>
      </c>
    </row>
    <row r="22" spans="1:16" x14ac:dyDescent="0.25">
      <c r="A22" s="56">
        <f t="shared" si="0"/>
        <v>15</v>
      </c>
      <c r="B22" s="55"/>
      <c r="C22" s="76"/>
      <c r="D22" s="55"/>
      <c r="E22" s="55"/>
      <c r="F22" s="55"/>
      <c r="G22" s="55"/>
      <c r="H22" s="55"/>
      <c r="I22" s="55"/>
      <c r="J22" s="55"/>
      <c r="K22" s="55"/>
      <c r="L22" s="55"/>
      <c r="M22" s="55"/>
      <c r="N22" s="55"/>
      <c r="O22" s="55"/>
      <c r="P22" s="74"/>
    </row>
    <row r="23" spans="1:16" x14ac:dyDescent="0.25">
      <c r="A23" s="56">
        <f t="shared" si="0"/>
        <v>16</v>
      </c>
      <c r="B23" s="65" t="s">
        <v>90</v>
      </c>
      <c r="C23" s="76"/>
      <c r="D23" s="55"/>
      <c r="E23" s="55"/>
      <c r="F23" s="55"/>
      <c r="G23" s="55"/>
      <c r="H23" s="55"/>
      <c r="I23" s="55"/>
      <c r="J23" s="55"/>
      <c r="K23" s="55"/>
      <c r="L23" s="55"/>
      <c r="M23" s="55"/>
      <c r="N23" s="55"/>
      <c r="O23" s="55"/>
      <c r="P23" s="74"/>
    </row>
    <row r="24" spans="1:16" x14ac:dyDescent="0.25">
      <c r="A24" s="56">
        <f t="shared" si="0"/>
        <v>17</v>
      </c>
      <c r="B24" s="55" t="s">
        <v>92</v>
      </c>
      <c r="C24" s="56" t="s">
        <v>93</v>
      </c>
      <c r="D24" s="55"/>
      <c r="E24" s="55"/>
      <c r="F24" s="55"/>
      <c r="G24" s="55"/>
      <c r="H24" s="55"/>
      <c r="I24" s="55"/>
      <c r="J24" s="55"/>
      <c r="K24" s="55"/>
      <c r="L24" s="55"/>
      <c r="M24" s="55"/>
      <c r="N24" s="55"/>
      <c r="O24" s="55"/>
      <c r="P24" s="74">
        <f>'Pg 4 UG-170486 Auth-2'!E13</f>
        <v>4621.5200000000004</v>
      </c>
    </row>
    <row r="25" spans="1:16" x14ac:dyDescent="0.25">
      <c r="A25" s="56">
        <f t="shared" si="0"/>
        <v>18</v>
      </c>
      <c r="B25" s="55" t="s">
        <v>94</v>
      </c>
      <c r="C25" s="56" t="str">
        <f>"("&amp;'Pg 3 UG-170486 Auth-1'!A$16&amp;") x ("&amp;A24&amp;")"</f>
        <v>() x (17)</v>
      </c>
      <c r="D25" s="75">
        <f t="shared" ref="D25:O25" si="4">$P24*D$16</f>
        <v>644.72071006316287</v>
      </c>
      <c r="E25" s="75">
        <f t="shared" si="4"/>
        <v>572.95798240681665</v>
      </c>
      <c r="F25" s="75">
        <f t="shared" si="4"/>
        <v>501.96685841519201</v>
      </c>
      <c r="G25" s="75">
        <f t="shared" si="4"/>
        <v>351.39303933924487</v>
      </c>
      <c r="H25" s="75">
        <f t="shared" si="4"/>
        <v>270.89587418127491</v>
      </c>
      <c r="I25" s="75">
        <f t="shared" si="4"/>
        <v>181.96563697969282</v>
      </c>
      <c r="J25" s="75">
        <f t="shared" si="4"/>
        <v>155.9609268589395</v>
      </c>
      <c r="K25" s="75">
        <f t="shared" si="4"/>
        <v>163.10613396324226</v>
      </c>
      <c r="L25" s="75">
        <f t="shared" si="4"/>
        <v>199.46971218804904</v>
      </c>
      <c r="M25" s="75">
        <f t="shared" si="4"/>
        <v>369.63584080802372</v>
      </c>
      <c r="N25" s="75">
        <f t="shared" si="4"/>
        <v>494.51412130939275</v>
      </c>
      <c r="O25" s="75">
        <f t="shared" si="4"/>
        <v>714.9331634869684</v>
      </c>
      <c r="P25" s="74">
        <f>SUM(D25:O25)</f>
        <v>4621.5199999999995</v>
      </c>
    </row>
    <row r="26" spans="1:16" x14ac:dyDescent="0.25">
      <c r="A26" s="56">
        <f t="shared" si="0"/>
        <v>19</v>
      </c>
      <c r="B26" s="55"/>
      <c r="C26" s="76"/>
      <c r="D26" s="56"/>
      <c r="E26" s="56"/>
      <c r="F26" s="56"/>
      <c r="G26" s="56"/>
      <c r="H26" s="55"/>
      <c r="I26" s="55"/>
      <c r="J26" s="55"/>
      <c r="K26" s="55"/>
      <c r="L26" s="55"/>
      <c r="M26" s="55"/>
      <c r="N26" s="55"/>
      <c r="O26" s="55"/>
      <c r="P26" s="74"/>
    </row>
    <row r="27" spans="1:16" x14ac:dyDescent="0.25">
      <c r="A27" s="56">
        <f t="shared" si="0"/>
        <v>20</v>
      </c>
      <c r="B27" s="55" t="str">
        <f>'Pg 4 UG-170486 Auth-2'!B16</f>
        <v xml:space="preserve">*Rate Schedules 101, 102.  </v>
      </c>
      <c r="C27" s="76"/>
      <c r="D27" s="56"/>
      <c r="E27" s="56"/>
      <c r="F27" s="56"/>
      <c r="G27" s="56"/>
      <c r="H27" s="55"/>
      <c r="I27" s="55"/>
      <c r="J27" s="55"/>
      <c r="K27" s="55"/>
      <c r="L27" s="55"/>
      <c r="M27" s="55"/>
      <c r="N27" s="55"/>
      <c r="O27" s="55"/>
      <c r="P27" s="74"/>
    </row>
    <row r="28" spans="1:16" x14ac:dyDescent="0.25">
      <c r="A28" s="56">
        <f t="shared" si="0"/>
        <v>21</v>
      </c>
      <c r="B28" s="55" t="str">
        <f>'Pg 4 UG-170486 Auth-2'!B17</f>
        <v xml:space="preserve">**Rate Schedules 111, 112, 116, 121, 122, 126, 131.  </v>
      </c>
      <c r="C28" s="56"/>
      <c r="D28" s="56"/>
      <c r="E28" s="56"/>
      <c r="F28" s="56"/>
      <c r="G28" s="56"/>
      <c r="H28" s="55"/>
      <c r="I28" s="55"/>
      <c r="J28" s="55"/>
      <c r="K28" s="55"/>
      <c r="L28" s="55"/>
      <c r="M28" s="55"/>
      <c r="N28" s="55"/>
      <c r="O28" s="55"/>
      <c r="P28" s="55"/>
    </row>
    <row r="29" spans="1:16" x14ac:dyDescent="0.25">
      <c r="A29" s="77"/>
      <c r="B29" s="77"/>
      <c r="C29" s="77"/>
      <c r="D29" s="77"/>
      <c r="E29" s="77"/>
      <c r="F29" s="77"/>
      <c r="G29" s="77"/>
      <c r="H29" s="77"/>
      <c r="I29" s="77"/>
      <c r="J29" s="77"/>
      <c r="K29" s="77"/>
      <c r="L29" s="77"/>
      <c r="M29" s="77"/>
      <c r="N29" s="77"/>
      <c r="O29" s="77"/>
      <c r="P29" s="77"/>
    </row>
    <row r="30" spans="1:16" ht="18.75" x14ac:dyDescent="0.3">
      <c r="A30" s="36" t="s">
        <v>168</v>
      </c>
    </row>
  </sheetData>
  <mergeCells count="4">
    <mergeCell ref="A4:P4"/>
    <mergeCell ref="A1:P1"/>
    <mergeCell ref="A2:P2"/>
    <mergeCell ref="A3:P3"/>
  </mergeCells>
  <pageMargins left="0.7" right="0.7" top="0.75" bottom="0.75" header="0.3" footer="0.3"/>
  <pageSetup scale="53"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0011E-3ABA-4478-8B6A-5EC2AB4CF647}">
  <sheetPr>
    <pageSetUpPr fitToPage="1"/>
  </sheetPr>
  <dimension ref="A1:E32"/>
  <sheetViews>
    <sheetView view="pageBreakPreview" zoomScale="60" zoomScaleNormal="100" workbookViewId="0">
      <selection activeCell="J32" sqref="J32"/>
    </sheetView>
  </sheetViews>
  <sheetFormatPr defaultRowHeight="15" x14ac:dyDescent="0.25"/>
  <cols>
    <col min="1" max="4" width="13.85546875" customWidth="1"/>
    <col min="5" max="5" width="10.42578125" bestFit="1" customWidth="1"/>
    <col min="7" max="7" width="15.28515625" customWidth="1"/>
  </cols>
  <sheetData>
    <row r="1" spans="1:5" x14ac:dyDescent="0.25">
      <c r="A1" s="178" t="s">
        <v>96</v>
      </c>
      <c r="B1" s="178"/>
      <c r="C1" s="178"/>
      <c r="D1" s="178"/>
      <c r="E1" s="178"/>
    </row>
    <row r="2" spans="1:5" x14ac:dyDescent="0.25">
      <c r="A2" s="178" t="s">
        <v>97</v>
      </c>
      <c r="B2" s="178"/>
      <c r="C2" s="178"/>
      <c r="D2" s="178"/>
      <c r="E2" s="178"/>
    </row>
    <row r="3" spans="1:5" x14ac:dyDescent="0.25">
      <c r="A3" s="179" t="s">
        <v>98</v>
      </c>
      <c r="B3" s="179"/>
      <c r="C3" s="179"/>
      <c r="D3" s="179"/>
      <c r="E3" s="179"/>
    </row>
    <row r="4" spans="1:5" x14ac:dyDescent="0.25">
      <c r="A4" s="177" t="s">
        <v>99</v>
      </c>
      <c r="B4" s="177"/>
      <c r="C4" s="177"/>
      <c r="D4" s="177"/>
      <c r="E4" s="177"/>
    </row>
    <row r="5" spans="1:5" x14ac:dyDescent="0.25">
      <c r="A5" s="177" t="s">
        <v>100</v>
      </c>
      <c r="B5" s="177"/>
      <c r="C5" s="177"/>
      <c r="D5" s="177"/>
      <c r="E5" s="177"/>
    </row>
    <row r="6" spans="1:5" x14ac:dyDescent="0.25">
      <c r="A6" s="176" t="str">
        <f>'Pg 3 UG-170486 Auth-1'!A4</f>
        <v>Washington Docket No. UG-170486 Compliance Filing</v>
      </c>
      <c r="B6" s="176"/>
      <c r="C6" s="176"/>
      <c r="D6" s="176"/>
      <c r="E6" s="176"/>
    </row>
    <row r="7" spans="1:5" x14ac:dyDescent="0.25">
      <c r="A7" s="78"/>
      <c r="B7" s="79"/>
      <c r="C7" s="80"/>
      <c r="D7" s="81"/>
      <c r="E7" s="82"/>
    </row>
    <row r="8" spans="1:5" x14ac:dyDescent="0.25">
      <c r="A8" s="78" t="s">
        <v>101</v>
      </c>
      <c r="B8" s="79"/>
      <c r="C8" s="78"/>
      <c r="D8" s="81"/>
      <c r="E8" s="78"/>
    </row>
    <row r="9" spans="1:5" x14ac:dyDescent="0.25">
      <c r="A9" s="83" t="s">
        <v>102</v>
      </c>
      <c r="B9" s="79"/>
      <c r="C9" s="83" t="s">
        <v>103</v>
      </c>
      <c r="D9" s="81"/>
      <c r="E9" s="83" t="s">
        <v>104</v>
      </c>
    </row>
    <row r="10" spans="1:5" x14ac:dyDescent="0.25">
      <c r="A10" s="78"/>
      <c r="B10" s="79"/>
      <c r="C10" s="81"/>
      <c r="D10" s="81"/>
      <c r="E10" s="81"/>
    </row>
    <row r="11" spans="1:5" x14ac:dyDescent="0.25">
      <c r="A11" s="84">
        <v>1</v>
      </c>
      <c r="B11" s="79"/>
      <c r="C11" s="82" t="s">
        <v>54</v>
      </c>
      <c r="D11" s="81"/>
      <c r="E11" s="81">
        <v>1</v>
      </c>
    </row>
    <row r="12" spans="1:5" x14ac:dyDescent="0.25">
      <c r="A12" s="84"/>
      <c r="B12" s="79"/>
      <c r="C12" s="82"/>
      <c r="D12" s="81"/>
      <c r="E12" s="81"/>
    </row>
    <row r="13" spans="1:5" x14ac:dyDescent="0.25">
      <c r="A13" s="84"/>
      <c r="B13" s="79"/>
      <c r="C13" s="82" t="s">
        <v>105</v>
      </c>
      <c r="D13" s="81"/>
      <c r="E13" s="81"/>
    </row>
    <row r="14" spans="1:5" x14ac:dyDescent="0.25">
      <c r="A14" s="84">
        <v>2</v>
      </c>
      <c r="B14" s="85"/>
      <c r="C14" s="81" t="s">
        <v>106</v>
      </c>
      <c r="D14" s="81"/>
      <c r="E14" s="86">
        <v>6.1830000000000001E-3</v>
      </c>
    </row>
    <row r="15" spans="1:5" x14ac:dyDescent="0.25">
      <c r="A15" s="84"/>
      <c r="B15" s="79"/>
      <c r="C15" s="81"/>
      <c r="D15" s="81"/>
      <c r="E15" s="86"/>
    </row>
    <row r="16" spans="1:5" x14ac:dyDescent="0.25">
      <c r="A16" s="84">
        <v>3</v>
      </c>
      <c r="B16" s="79"/>
      <c r="C16" s="81" t="s">
        <v>107</v>
      </c>
      <c r="D16" s="81"/>
      <c r="E16" s="87">
        <v>2E-3</v>
      </c>
    </row>
    <row r="17" spans="1:5" x14ac:dyDescent="0.25">
      <c r="A17" s="84"/>
      <c r="B17" s="79"/>
      <c r="C17" s="81"/>
      <c r="D17" s="81"/>
      <c r="E17" s="86"/>
    </row>
    <row r="18" spans="1:5" x14ac:dyDescent="0.25">
      <c r="A18" s="84">
        <v>4</v>
      </c>
      <c r="B18" s="79"/>
      <c r="C18" s="81" t="s">
        <v>108</v>
      </c>
      <c r="D18" s="81"/>
      <c r="E18" s="86">
        <v>3.8281999999999997E-2</v>
      </c>
    </row>
    <row r="19" spans="1:5" x14ac:dyDescent="0.25">
      <c r="A19" s="84"/>
      <c r="B19" s="79"/>
      <c r="C19" s="81"/>
      <c r="D19" s="81"/>
      <c r="E19" s="88"/>
    </row>
    <row r="20" spans="1:5" x14ac:dyDescent="0.25">
      <c r="A20" s="84">
        <v>6</v>
      </c>
      <c r="B20" s="79"/>
      <c r="C20" s="81" t="s">
        <v>109</v>
      </c>
      <c r="D20" s="81"/>
      <c r="E20" s="89">
        <f>SUM(E14:E18)</f>
        <v>4.6464999999999992E-2</v>
      </c>
    </row>
    <row r="21" spans="1:5" x14ac:dyDescent="0.25">
      <c r="A21" s="84"/>
      <c r="B21" s="79"/>
      <c r="C21" s="81"/>
      <c r="D21" s="81"/>
      <c r="E21" s="81"/>
    </row>
    <row r="22" spans="1:5" x14ac:dyDescent="0.25">
      <c r="A22" s="84">
        <v>7</v>
      </c>
      <c r="B22" s="79"/>
      <c r="C22" s="81" t="s">
        <v>110</v>
      </c>
      <c r="D22" s="81"/>
      <c r="E22" s="81">
        <f>E11-E20</f>
        <v>0.95353500000000002</v>
      </c>
    </row>
    <row r="23" spans="1:5" x14ac:dyDescent="0.25">
      <c r="A23" s="84"/>
      <c r="B23" s="79"/>
      <c r="C23" s="81"/>
      <c r="D23" s="81"/>
      <c r="E23" s="81"/>
    </row>
    <row r="24" spans="1:5" x14ac:dyDescent="0.25">
      <c r="A24" s="84">
        <v>8</v>
      </c>
      <c r="B24" s="79"/>
      <c r="C24" s="81" t="s">
        <v>111</v>
      </c>
      <c r="D24" s="90"/>
      <c r="E24" s="81">
        <f>E22*0.21</f>
        <v>0.20024234999999999</v>
      </c>
    </row>
    <row r="25" spans="1:5" x14ac:dyDescent="0.25">
      <c r="A25" s="79"/>
      <c r="B25" s="79"/>
      <c r="C25" s="81"/>
      <c r="D25" s="81"/>
      <c r="E25" s="81"/>
    </row>
    <row r="26" spans="1:5" x14ac:dyDescent="0.25">
      <c r="A26" s="84">
        <v>9</v>
      </c>
      <c r="B26" s="79"/>
      <c r="C26" s="81" t="s">
        <v>97</v>
      </c>
      <c r="D26" s="81"/>
      <c r="E26" s="81">
        <f>ROUND(E22-E24,6)</f>
        <v>0.75329299999999999</v>
      </c>
    </row>
    <row r="27" spans="1:5" x14ac:dyDescent="0.25">
      <c r="A27" s="79"/>
      <c r="B27" s="79"/>
      <c r="C27" s="81"/>
      <c r="D27" s="81"/>
      <c r="E27" s="91"/>
    </row>
    <row r="28" spans="1:5" x14ac:dyDescent="0.25">
      <c r="A28" s="79"/>
      <c r="B28" s="79"/>
      <c r="C28" s="92" t="s">
        <v>112</v>
      </c>
      <c r="D28" s="81"/>
      <c r="E28" s="91"/>
    </row>
    <row r="30" spans="1:5" x14ac:dyDescent="0.25">
      <c r="A30" t="s">
        <v>113</v>
      </c>
    </row>
    <row r="32" spans="1:5" ht="18.75" x14ac:dyDescent="0.3">
      <c r="A32" s="36" t="s">
        <v>167</v>
      </c>
    </row>
  </sheetData>
  <mergeCells count="6">
    <mergeCell ref="A6:E6"/>
    <mergeCell ref="A4:E4"/>
    <mergeCell ref="A5:E5"/>
    <mergeCell ref="A1:E1"/>
    <mergeCell ref="A2:E2"/>
    <mergeCell ref="A3:E3"/>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8"/>
  <sheetViews>
    <sheetView view="pageBreakPreview" zoomScale="60" zoomScaleNormal="100" workbookViewId="0">
      <selection activeCell="D45" sqref="D45"/>
    </sheetView>
  </sheetViews>
  <sheetFormatPr defaultRowHeight="15" x14ac:dyDescent="0.25"/>
  <cols>
    <col min="1" max="1" width="4.5703125" customWidth="1"/>
    <col min="2" max="2" width="48.7109375" customWidth="1"/>
    <col min="3" max="3" width="19.42578125" customWidth="1"/>
    <col min="4" max="4" width="20.5703125" bestFit="1" customWidth="1"/>
    <col min="5" max="5" width="27.5703125" bestFit="1" customWidth="1"/>
    <col min="6" max="6" width="17.7109375" bestFit="1" customWidth="1"/>
    <col min="7" max="7" width="19.42578125" bestFit="1" customWidth="1"/>
    <col min="8" max="8" width="14.85546875" bestFit="1" customWidth="1"/>
    <col min="9" max="9" width="16.140625" bestFit="1" customWidth="1"/>
    <col min="10" max="10" width="11.7109375" customWidth="1"/>
    <col min="11" max="11" width="11.5703125" bestFit="1" customWidth="1"/>
    <col min="12" max="12" width="11.85546875" customWidth="1"/>
    <col min="13" max="13" width="11.42578125" customWidth="1"/>
    <col min="14" max="14" width="12.5703125" customWidth="1"/>
    <col min="15" max="15" width="11.7109375" customWidth="1"/>
    <col min="16" max="16" width="12.5703125" customWidth="1"/>
    <col min="18" max="18" width="8.140625" customWidth="1"/>
    <col min="19" max="19" width="9.140625" customWidth="1"/>
    <col min="20" max="20" width="11.140625" customWidth="1"/>
    <col min="21" max="21" width="34.7109375" customWidth="1"/>
    <col min="22" max="22" width="12" customWidth="1"/>
    <col min="23" max="23" width="14" customWidth="1"/>
  </cols>
  <sheetData>
    <row r="1" spans="1:11" ht="15.75" x14ac:dyDescent="0.25">
      <c r="A1" s="173" t="s">
        <v>0</v>
      </c>
      <c r="B1" s="173"/>
      <c r="C1" s="173"/>
      <c r="D1" s="173"/>
      <c r="E1" s="173"/>
      <c r="F1" s="173"/>
      <c r="G1" s="173"/>
      <c r="H1" s="173"/>
      <c r="I1" s="173"/>
    </row>
    <row r="2" spans="1:11" ht="15.75" x14ac:dyDescent="0.25">
      <c r="A2" s="173" t="s">
        <v>1</v>
      </c>
      <c r="B2" s="173"/>
      <c r="C2" s="173"/>
      <c r="D2" s="173"/>
      <c r="E2" s="173"/>
      <c r="F2" s="173"/>
      <c r="G2" s="173"/>
      <c r="H2" s="173"/>
      <c r="I2" s="173"/>
    </row>
    <row r="3" spans="1:11" ht="15.75" x14ac:dyDescent="0.25">
      <c r="A3" s="169" t="s">
        <v>2</v>
      </c>
      <c r="B3" s="169"/>
      <c r="C3" s="169"/>
      <c r="D3" s="169"/>
      <c r="E3" s="169"/>
      <c r="F3" s="169"/>
      <c r="G3" s="169"/>
      <c r="H3" s="169"/>
      <c r="I3" s="169"/>
    </row>
    <row r="4" spans="1:11" ht="15.75" x14ac:dyDescent="0.25">
      <c r="A4" s="170" t="s">
        <v>154</v>
      </c>
      <c r="B4" s="170"/>
      <c r="C4" s="170"/>
      <c r="D4" s="170"/>
      <c r="E4" s="170"/>
      <c r="F4" s="170"/>
      <c r="G4" s="170"/>
      <c r="H4" s="170"/>
      <c r="I4" s="170"/>
    </row>
    <row r="5" spans="1:11" ht="15.75" x14ac:dyDescent="0.25">
      <c r="A5" s="122"/>
      <c r="B5" s="122"/>
      <c r="C5" s="122"/>
      <c r="D5" s="122"/>
      <c r="E5" s="122"/>
      <c r="F5" s="122"/>
      <c r="G5" s="122"/>
      <c r="H5" s="122"/>
      <c r="I5" s="122"/>
    </row>
    <row r="6" spans="1:11" ht="15.75" x14ac:dyDescent="0.25">
      <c r="A6" s="2"/>
      <c r="B6" s="2"/>
      <c r="C6" s="3" t="s">
        <v>4</v>
      </c>
      <c r="D6" s="3" t="s">
        <v>5</v>
      </c>
      <c r="E6" s="3" t="s">
        <v>6</v>
      </c>
      <c r="F6" s="3" t="s">
        <v>7</v>
      </c>
      <c r="G6" s="3" t="s">
        <v>8</v>
      </c>
      <c r="H6" s="4" t="s">
        <v>9</v>
      </c>
      <c r="I6" s="3" t="s">
        <v>9</v>
      </c>
      <c r="K6" s="3" t="s">
        <v>59</v>
      </c>
    </row>
    <row r="7" spans="1:11" ht="15.75" x14ac:dyDescent="0.25">
      <c r="A7" s="2"/>
      <c r="B7" s="2"/>
      <c r="C7" s="5" t="s">
        <v>10</v>
      </c>
      <c r="D7" s="5" t="s">
        <v>11</v>
      </c>
      <c r="E7" s="5" t="s">
        <v>12</v>
      </c>
      <c r="F7" s="5" t="s">
        <v>13</v>
      </c>
      <c r="G7" s="5" t="s">
        <v>14</v>
      </c>
      <c r="H7" s="6">
        <v>132</v>
      </c>
      <c r="I7" s="5" t="s">
        <v>15</v>
      </c>
      <c r="K7" s="3">
        <v>132</v>
      </c>
    </row>
    <row r="8" spans="1:11" ht="15.75" x14ac:dyDescent="0.25">
      <c r="A8" s="2"/>
      <c r="B8" s="2"/>
      <c r="C8" s="2"/>
      <c r="D8" s="2"/>
      <c r="E8" s="2"/>
      <c r="F8" s="2"/>
      <c r="G8" s="2"/>
      <c r="H8" s="7"/>
      <c r="I8" s="8"/>
    </row>
    <row r="9" spans="1:11" ht="15.75" x14ac:dyDescent="0.25">
      <c r="A9" s="2">
        <v>1</v>
      </c>
      <c r="B9" s="2" t="s">
        <v>134</v>
      </c>
      <c r="C9" s="9">
        <f>SUM(D9:I9)</f>
        <v>93707000</v>
      </c>
      <c r="D9" s="10">
        <v>71132000</v>
      </c>
      <c r="E9" s="10">
        <f>17111000+307000</f>
        <v>17418000</v>
      </c>
      <c r="F9" s="10">
        <v>0</v>
      </c>
      <c r="G9" s="10">
        <f>201000-K9</f>
        <v>0</v>
      </c>
      <c r="H9" s="11">
        <f>K9</f>
        <v>201000</v>
      </c>
      <c r="I9" s="12">
        <f>3236000+1720000</f>
        <v>4956000</v>
      </c>
      <c r="K9" s="53">
        <v>201000</v>
      </c>
    </row>
    <row r="10" spans="1:11" ht="15.75" x14ac:dyDescent="0.25">
      <c r="A10" s="2">
        <v>2</v>
      </c>
      <c r="B10" s="13" t="s">
        <v>17</v>
      </c>
      <c r="C10" s="9">
        <f>SUM(D10:I10)</f>
        <v>8000000</v>
      </c>
      <c r="D10" s="10">
        <v>6187000</v>
      </c>
      <c r="E10" s="10">
        <v>1515000</v>
      </c>
      <c r="F10" s="10">
        <v>0</v>
      </c>
      <c r="G10" s="10">
        <f>0-K10</f>
        <v>0</v>
      </c>
      <c r="H10" s="11">
        <v>17000</v>
      </c>
      <c r="I10" s="12">
        <v>281000</v>
      </c>
      <c r="K10" s="53">
        <v>0</v>
      </c>
    </row>
    <row r="11" spans="1:11" ht="15.75" x14ac:dyDescent="0.25">
      <c r="A11" s="2">
        <v>3</v>
      </c>
      <c r="B11" s="2" t="s">
        <v>18</v>
      </c>
      <c r="C11" s="9">
        <f>SUM(D11:I11)</f>
        <v>101707000</v>
      </c>
      <c r="D11" s="14">
        <f t="shared" ref="D11:I11" si="0">D9+D10</f>
        <v>77319000</v>
      </c>
      <c r="E11" s="14">
        <f t="shared" si="0"/>
        <v>18933000</v>
      </c>
      <c r="F11" s="14">
        <f t="shared" si="0"/>
        <v>0</v>
      </c>
      <c r="G11" s="14">
        <f>G9+G10</f>
        <v>0</v>
      </c>
      <c r="H11" s="15">
        <f t="shared" si="0"/>
        <v>218000</v>
      </c>
      <c r="I11" s="16">
        <f t="shared" si="0"/>
        <v>5237000</v>
      </c>
      <c r="K11" s="53">
        <f>K9+K10</f>
        <v>201000</v>
      </c>
    </row>
    <row r="12" spans="1:11" ht="15.75" x14ac:dyDescent="0.25">
      <c r="A12" s="2"/>
      <c r="B12" s="2"/>
      <c r="C12" s="2"/>
      <c r="D12" s="2"/>
      <c r="E12" s="2"/>
      <c r="F12" s="2"/>
      <c r="G12" s="2"/>
      <c r="H12" s="7"/>
      <c r="I12" s="8"/>
    </row>
    <row r="13" spans="1:11" ht="15.75" x14ac:dyDescent="0.25">
      <c r="A13" s="2">
        <v>4</v>
      </c>
      <c r="B13" s="2" t="s">
        <v>135</v>
      </c>
      <c r="C13" s="17">
        <f>SUM(D13:I13)</f>
        <v>275981665</v>
      </c>
      <c r="D13" s="18">
        <v>128985980</v>
      </c>
      <c r="E13" s="18">
        <v>55884877</v>
      </c>
      <c r="F13" s="18">
        <v>0</v>
      </c>
      <c r="G13" s="18">
        <v>0</v>
      </c>
      <c r="H13" s="19">
        <v>985267</v>
      </c>
      <c r="I13" s="20">
        <v>90125541</v>
      </c>
      <c r="K13" s="54">
        <v>985267</v>
      </c>
    </row>
    <row r="14" spans="1:11" ht="15.75" x14ac:dyDescent="0.25">
      <c r="A14" s="2">
        <v>5</v>
      </c>
      <c r="B14" s="2" t="s">
        <v>20</v>
      </c>
      <c r="C14" s="21"/>
      <c r="D14" s="22">
        <v>0</v>
      </c>
      <c r="E14" s="22">
        <v>0</v>
      </c>
      <c r="F14" s="22">
        <v>0</v>
      </c>
      <c r="G14" s="22">
        <v>0</v>
      </c>
      <c r="H14" s="23"/>
      <c r="I14" s="24"/>
      <c r="K14" s="39">
        <f>G14</f>
        <v>0</v>
      </c>
    </row>
    <row r="15" spans="1:11" ht="15.75" x14ac:dyDescent="0.25">
      <c r="A15" s="2">
        <v>6</v>
      </c>
      <c r="B15" s="2" t="s">
        <v>21</v>
      </c>
      <c r="C15" s="9">
        <f>SUM(D15:G15)</f>
        <v>0</v>
      </c>
      <c r="D15" s="9">
        <f>D13*D14</f>
        <v>0</v>
      </c>
      <c r="E15" s="9">
        <f>E13*E14</f>
        <v>0</v>
      </c>
      <c r="F15" s="9">
        <f>F13*F14</f>
        <v>0</v>
      </c>
      <c r="G15" s="9">
        <f>G13*G14</f>
        <v>0</v>
      </c>
      <c r="H15" s="23"/>
      <c r="I15" s="24"/>
      <c r="K15" s="53">
        <f>K13*K14</f>
        <v>0</v>
      </c>
    </row>
    <row r="16" spans="1:11" ht="15.75" x14ac:dyDescent="0.25">
      <c r="A16" s="2"/>
      <c r="B16" s="2"/>
      <c r="C16" s="2"/>
      <c r="D16" s="2"/>
      <c r="E16" s="2"/>
      <c r="F16" s="2"/>
      <c r="G16" s="2"/>
      <c r="H16" s="23"/>
      <c r="I16" s="24"/>
    </row>
    <row r="17" spans="1:11" ht="15.75" x14ac:dyDescent="0.25">
      <c r="A17" s="2">
        <v>7</v>
      </c>
      <c r="B17" s="2" t="s">
        <v>22</v>
      </c>
      <c r="C17" s="9">
        <f>SUM(D17:G17)</f>
        <v>96252000</v>
      </c>
      <c r="D17" s="14">
        <f>D11-D15</f>
        <v>77319000</v>
      </c>
      <c r="E17" s="14">
        <f>E11-E15</f>
        <v>18933000</v>
      </c>
      <c r="F17" s="14">
        <f>F11-F15</f>
        <v>0</v>
      </c>
      <c r="G17" s="14">
        <f>G11-G15</f>
        <v>0</v>
      </c>
      <c r="H17" s="15"/>
      <c r="I17" s="8"/>
      <c r="K17" s="38">
        <f>K11-K15</f>
        <v>201000</v>
      </c>
    </row>
    <row r="18" spans="1:11" ht="15.75" x14ac:dyDescent="0.25">
      <c r="A18" s="2"/>
      <c r="B18" s="2"/>
      <c r="C18" s="2"/>
      <c r="D18" s="2"/>
      <c r="E18" s="2"/>
      <c r="F18" s="2"/>
      <c r="G18" s="2"/>
      <c r="H18" s="7"/>
      <c r="I18" s="8"/>
    </row>
    <row r="19" spans="1:11" ht="15.75" x14ac:dyDescent="0.25">
      <c r="A19" s="2">
        <v>8</v>
      </c>
      <c r="B19" s="2" t="s">
        <v>136</v>
      </c>
      <c r="C19" s="17">
        <f>SUM(D19:I19)</f>
        <v>1978935</v>
      </c>
      <c r="D19" s="25">
        <v>1941495</v>
      </c>
      <c r="E19" s="25">
        <f>36840+36</f>
        <v>36876</v>
      </c>
      <c r="F19" s="25">
        <v>0</v>
      </c>
      <c r="G19" s="25">
        <f>24-K19</f>
        <v>0</v>
      </c>
      <c r="H19" s="19">
        <f>K19</f>
        <v>24</v>
      </c>
      <c r="I19" s="20">
        <f>480+48+12</f>
        <v>540</v>
      </c>
      <c r="K19">
        <v>24</v>
      </c>
    </row>
    <row r="20" spans="1:11" ht="15.75" x14ac:dyDescent="0.25">
      <c r="A20" s="2">
        <v>9</v>
      </c>
      <c r="B20" s="2" t="s">
        <v>24</v>
      </c>
      <c r="C20" s="9"/>
      <c r="D20" s="26">
        <v>9.5</v>
      </c>
      <c r="E20" s="26">
        <v>107.56</v>
      </c>
      <c r="F20" s="26">
        <v>0</v>
      </c>
      <c r="G20" s="27">
        <f>G19*G18</f>
        <v>0</v>
      </c>
      <c r="H20" s="28"/>
      <c r="I20" s="8"/>
      <c r="K20" s="34">
        <f>G20</f>
        <v>0</v>
      </c>
    </row>
    <row r="21" spans="1:11" ht="15.75" x14ac:dyDescent="0.25">
      <c r="A21" s="2">
        <v>10</v>
      </c>
      <c r="B21" s="2" t="s">
        <v>25</v>
      </c>
      <c r="C21" s="9">
        <f>SUM(D21:G21)</f>
        <v>22410585.059999999</v>
      </c>
      <c r="D21" s="29">
        <f>D20*D19</f>
        <v>18444202.5</v>
      </c>
      <c r="E21" s="29">
        <f>E20*E19</f>
        <v>3966382.56</v>
      </c>
      <c r="F21" s="29">
        <f>F20*F19</f>
        <v>0</v>
      </c>
      <c r="G21" s="29">
        <f>G20*G19</f>
        <v>0</v>
      </c>
      <c r="H21" s="28"/>
      <c r="I21" s="8"/>
      <c r="K21" s="38">
        <f>K19*K20</f>
        <v>0</v>
      </c>
    </row>
    <row r="22" spans="1:11" ht="15.75" x14ac:dyDescent="0.25">
      <c r="A22" s="2"/>
      <c r="B22" s="2"/>
      <c r="C22" s="9"/>
      <c r="D22" s="29"/>
      <c r="E22" s="29"/>
      <c r="F22" s="29"/>
      <c r="G22" s="29"/>
      <c r="H22" s="171" t="s">
        <v>26</v>
      </c>
      <c r="I22" s="172"/>
      <c r="K22" s="38"/>
    </row>
    <row r="23" spans="1:11" ht="15.75" x14ac:dyDescent="0.25">
      <c r="A23" s="2">
        <v>11</v>
      </c>
      <c r="B23" s="2" t="s">
        <v>27</v>
      </c>
      <c r="C23" s="9">
        <f>SUM(D23:G23)</f>
        <v>73841414.939999998</v>
      </c>
      <c r="D23" s="29">
        <f>D17-D21</f>
        <v>58874797.5</v>
      </c>
      <c r="E23" s="29">
        <f>E17-E21</f>
        <v>14966617.439999999</v>
      </c>
      <c r="F23" s="29">
        <f>F17-F21</f>
        <v>0</v>
      </c>
      <c r="G23" s="29">
        <f>G17-G21</f>
        <v>0</v>
      </c>
      <c r="H23" s="171"/>
      <c r="I23" s="172"/>
      <c r="K23" s="38">
        <f>K17-K21</f>
        <v>201000</v>
      </c>
    </row>
    <row r="24" spans="1:11" ht="15.75" x14ac:dyDescent="0.25">
      <c r="A24" s="30"/>
      <c r="B24" s="30"/>
      <c r="C24" s="30"/>
      <c r="D24" s="30"/>
      <c r="E24" s="30"/>
      <c r="F24" s="30"/>
      <c r="G24" s="30"/>
      <c r="H24" s="31"/>
      <c r="I24" s="32"/>
    </row>
    <row r="25" spans="1:11" ht="15.75" x14ac:dyDescent="0.25">
      <c r="C25" s="2"/>
      <c r="D25" s="33" t="s">
        <v>28</v>
      </c>
      <c r="E25" s="2" t="s">
        <v>29</v>
      </c>
    </row>
    <row r="26" spans="1:11" ht="15.75" x14ac:dyDescent="0.25">
      <c r="A26" s="2">
        <v>12</v>
      </c>
      <c r="B26" s="2" t="s">
        <v>30</v>
      </c>
      <c r="C26" s="17"/>
      <c r="D26" s="17">
        <f>D19/12</f>
        <v>161791.25</v>
      </c>
      <c r="E26" s="17">
        <f>(E19+F19+G19)/12</f>
        <v>3073</v>
      </c>
    </row>
    <row r="27" spans="1:11" ht="15.75" x14ac:dyDescent="0.25">
      <c r="A27" s="2">
        <v>13</v>
      </c>
      <c r="B27" s="2" t="s">
        <v>31</v>
      </c>
      <c r="C27" s="17"/>
      <c r="D27" s="17">
        <f>D13</f>
        <v>128985980</v>
      </c>
      <c r="E27" s="17">
        <f>E13+F13+G13</f>
        <v>55884877</v>
      </c>
    </row>
    <row r="28" spans="1:11" ht="15.75" x14ac:dyDescent="0.25">
      <c r="A28" s="2">
        <v>14</v>
      </c>
      <c r="B28" s="2" t="s">
        <v>32</v>
      </c>
      <c r="C28" s="9"/>
      <c r="D28" s="9">
        <f>D21</f>
        <v>18444202.5</v>
      </c>
      <c r="E28" s="9">
        <f>E21+F21+G21</f>
        <v>3966382.56</v>
      </c>
      <c r="F28" s="34"/>
    </row>
    <row r="29" spans="1:11" ht="15.75" x14ac:dyDescent="0.25">
      <c r="A29" s="2">
        <v>15</v>
      </c>
      <c r="B29" s="2" t="s">
        <v>33</v>
      </c>
      <c r="C29" s="17"/>
      <c r="D29" s="17">
        <f>D19</f>
        <v>1941495</v>
      </c>
      <c r="E29" s="17">
        <f>E19+F19+G19</f>
        <v>36876</v>
      </c>
      <c r="F29" s="34"/>
    </row>
    <row r="30" spans="1:11" ht="15.75" x14ac:dyDescent="0.25">
      <c r="A30" s="2">
        <v>16</v>
      </c>
      <c r="B30" s="2" t="s">
        <v>34</v>
      </c>
      <c r="C30" s="9"/>
      <c r="D30" s="35">
        <f>D28/D29</f>
        <v>9.5</v>
      </c>
      <c r="E30" s="35">
        <f>E28/E29</f>
        <v>107.56</v>
      </c>
      <c r="F30" s="34"/>
    </row>
    <row r="31" spans="1:11" x14ac:dyDescent="0.25">
      <c r="D31" s="34"/>
    </row>
    <row r="32" spans="1:11" x14ac:dyDescent="0.25">
      <c r="D32" s="34"/>
    </row>
    <row r="33" spans="1:6" ht="18.75" x14ac:dyDescent="0.3">
      <c r="A33" s="153" t="s">
        <v>170</v>
      </c>
      <c r="B33" s="37"/>
      <c r="D33" s="34"/>
    </row>
    <row r="34" spans="1:6" x14ac:dyDescent="0.25">
      <c r="D34" s="34"/>
    </row>
    <row r="35" spans="1:6" x14ac:dyDescent="0.25">
      <c r="D35" s="34"/>
    </row>
    <row r="36" spans="1:6" x14ac:dyDescent="0.25">
      <c r="C36" t="s">
        <v>36</v>
      </c>
      <c r="D36" s="38"/>
      <c r="F36" s="38"/>
    </row>
    <row r="37" spans="1:6" x14ac:dyDescent="0.25">
      <c r="C37" t="s">
        <v>37</v>
      </c>
      <c r="D37" s="39">
        <f>D23/D13</f>
        <v>0.45644338632772335</v>
      </c>
      <c r="E37" s="39">
        <f>E23/E13</f>
        <v>0.26781158416077394</v>
      </c>
      <c r="F37" s="39" t="e">
        <f>F23/F13</f>
        <v>#DIV/0!</v>
      </c>
    </row>
    <row r="38" spans="1:6" x14ac:dyDescent="0.25">
      <c r="C38" t="s">
        <v>38</v>
      </c>
      <c r="D38" s="39">
        <f>D37+D14</f>
        <v>0.45644338632772335</v>
      </c>
      <c r="E38" s="39">
        <f>E37+E14</f>
        <v>0.26781158416077394</v>
      </c>
      <c r="F38" s="39" t="e">
        <f>F37+F14</f>
        <v>#DIV/0!</v>
      </c>
    </row>
  </sheetData>
  <mergeCells count="5">
    <mergeCell ref="A1:I1"/>
    <mergeCell ref="A2:I2"/>
    <mergeCell ref="A3:I3"/>
    <mergeCell ref="A4:I4"/>
    <mergeCell ref="H22:I23"/>
  </mergeCells>
  <pageMargins left="0.7" right="0.7" top="0.75" bottom="0.75" header="0.3" footer="0.3"/>
  <pageSetup scale="58"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9.140625" defaultRowHeight="15" x14ac:dyDescent="0.25"/>
  <cols>
    <col min="1" max="16384" width="9.140625" style="121"/>
  </cols>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C8D12-A589-493D-8419-AEA9AC069C57}">
  <sheetPr>
    <pageSetUpPr fitToPage="1"/>
  </sheetPr>
  <dimension ref="A1:E26"/>
  <sheetViews>
    <sheetView view="pageBreakPreview" zoomScale="60" zoomScaleNormal="100" workbookViewId="0">
      <selection activeCell="N33" sqref="N33"/>
    </sheetView>
  </sheetViews>
  <sheetFormatPr defaultRowHeight="15" x14ac:dyDescent="0.25"/>
  <cols>
    <col min="1" max="1" width="26.140625" bestFit="1" customWidth="1"/>
    <col min="2" max="2" width="38.5703125" bestFit="1" customWidth="1"/>
    <col min="3" max="3" width="26.85546875" bestFit="1" customWidth="1"/>
    <col min="4" max="4" width="17.5703125" bestFit="1" customWidth="1"/>
    <col min="5" max="5" width="17" bestFit="1" customWidth="1"/>
  </cols>
  <sheetData>
    <row r="1" spans="1:5" ht="15.75" x14ac:dyDescent="0.25">
      <c r="A1" s="173" t="s">
        <v>0</v>
      </c>
      <c r="B1" s="173"/>
      <c r="C1" s="173"/>
      <c r="D1" s="173"/>
      <c r="E1" s="173"/>
    </row>
    <row r="2" spans="1:5" ht="15.75" x14ac:dyDescent="0.25">
      <c r="A2" s="173" t="s">
        <v>1</v>
      </c>
      <c r="B2" s="173"/>
      <c r="C2" s="173"/>
      <c r="D2" s="173"/>
      <c r="E2" s="173"/>
    </row>
    <row r="3" spans="1:5" ht="15.75" x14ac:dyDescent="0.25">
      <c r="A3" s="169" t="s">
        <v>39</v>
      </c>
      <c r="B3" s="169"/>
      <c r="C3" s="169"/>
      <c r="D3" s="169"/>
      <c r="E3" s="169"/>
    </row>
    <row r="4" spans="1:5" ht="15.75" x14ac:dyDescent="0.25">
      <c r="A4" s="165" t="str">
        <f>'Pg 7 UG-190335 Auth-1'!A4</f>
        <v>Washington Docket No. UG-190335  2018 Compliance Filing</v>
      </c>
      <c r="B4" s="165"/>
      <c r="C4" s="165"/>
      <c r="D4" s="165"/>
      <c r="E4" s="165"/>
    </row>
    <row r="5" spans="1:5" ht="15.75" x14ac:dyDescent="0.25">
      <c r="A5" s="40"/>
      <c r="B5" s="40"/>
      <c r="C5" s="40"/>
      <c r="D5" s="40"/>
      <c r="E5" s="40"/>
    </row>
    <row r="6" spans="1:5" ht="78.75" x14ac:dyDescent="0.25">
      <c r="A6" s="41" t="s">
        <v>40</v>
      </c>
      <c r="B6" s="42"/>
      <c r="C6" s="41" t="s">
        <v>41</v>
      </c>
      <c r="D6" s="41" t="s">
        <v>42</v>
      </c>
      <c r="E6" s="41" t="s">
        <v>43</v>
      </c>
    </row>
    <row r="7" spans="1:5" ht="15.75" x14ac:dyDescent="0.25">
      <c r="A7" s="40"/>
      <c r="B7" s="43" t="s">
        <v>44</v>
      </c>
      <c r="C7" s="43" t="s">
        <v>45</v>
      </c>
      <c r="D7" s="43" t="s">
        <v>46</v>
      </c>
      <c r="E7" s="43" t="s">
        <v>47</v>
      </c>
    </row>
    <row r="8" spans="1:5" ht="15.75" x14ac:dyDescent="0.25">
      <c r="A8" s="43"/>
      <c r="B8" s="44"/>
      <c r="C8" s="43"/>
      <c r="D8" s="43"/>
      <c r="E8" s="43"/>
    </row>
    <row r="9" spans="1:5" ht="15.75" x14ac:dyDescent="0.25">
      <c r="A9" s="43">
        <v>1</v>
      </c>
      <c r="B9" s="44" t="s">
        <v>48</v>
      </c>
      <c r="C9" s="43" t="s">
        <v>152</v>
      </c>
      <c r="D9" s="45">
        <f>'Pg 7 UG-190335 Auth-1'!D23</f>
        <v>58874797.5</v>
      </c>
      <c r="E9" s="45">
        <f>SUM('Pg 7 UG-190335 Auth-1'!E23:G23)</f>
        <v>14966617.439999999</v>
      </c>
    </row>
    <row r="10" spans="1:5" ht="15.75" x14ac:dyDescent="0.25">
      <c r="A10" s="43"/>
      <c r="B10" s="44"/>
      <c r="C10" s="43"/>
      <c r="D10" s="43"/>
      <c r="E10" s="43"/>
    </row>
    <row r="11" spans="1:5" ht="15.75" x14ac:dyDescent="0.25">
      <c r="A11" s="43">
        <v>2</v>
      </c>
      <c r="B11" s="40" t="s">
        <v>153</v>
      </c>
      <c r="C11" s="43" t="s">
        <v>50</v>
      </c>
      <c r="D11" s="46">
        <f>'Pg 7 UG-190335 Auth-1'!D26</f>
        <v>161791.25</v>
      </c>
      <c r="E11" s="46">
        <f>'Pg 7 UG-190335 Auth-1'!E26</f>
        <v>3073</v>
      </c>
    </row>
    <row r="12" spans="1:5" ht="15.75" x14ac:dyDescent="0.25">
      <c r="A12" s="43"/>
      <c r="B12" s="44"/>
      <c r="C12" s="43"/>
      <c r="D12" s="43"/>
      <c r="E12" s="43"/>
    </row>
    <row r="13" spans="1:5" ht="15.75" x14ac:dyDescent="0.25">
      <c r="A13" s="43">
        <v>3</v>
      </c>
      <c r="B13" s="44" t="s">
        <v>51</v>
      </c>
      <c r="C13" s="43" t="str">
        <f>"("&amp;A9&amp;") / ("&amp;'Pg 7 UG-190335 Auth-1'!A$11&amp;")"</f>
        <v>(1) / (3)</v>
      </c>
      <c r="D13" s="47">
        <f>ROUND(D9/D11,2)</f>
        <v>363.89</v>
      </c>
      <c r="E13" s="47">
        <f>ROUND(E9/E11,2)</f>
        <v>4870.3599999999997</v>
      </c>
    </row>
    <row r="14" spans="1:5" ht="15.75" x14ac:dyDescent="0.25">
      <c r="A14" s="43"/>
      <c r="B14" s="44"/>
      <c r="C14" s="43"/>
      <c r="D14" s="43"/>
      <c r="E14" s="43"/>
    </row>
    <row r="15" spans="1:5" ht="15.75" x14ac:dyDescent="0.25">
      <c r="A15" s="43"/>
      <c r="B15" s="44"/>
      <c r="C15" s="43"/>
      <c r="D15" s="43"/>
      <c r="E15" s="43"/>
    </row>
    <row r="16" spans="1:5" ht="15.75" x14ac:dyDescent="0.25">
      <c r="A16" s="43"/>
      <c r="B16" s="48" t="s">
        <v>52</v>
      </c>
      <c r="C16" s="40"/>
      <c r="D16" s="49"/>
      <c r="E16" s="49"/>
    </row>
    <row r="17" spans="1:5" ht="15.75" x14ac:dyDescent="0.25">
      <c r="A17" s="43"/>
      <c r="B17" s="48" t="s">
        <v>157</v>
      </c>
      <c r="C17" s="40"/>
      <c r="D17" s="40"/>
      <c r="E17" s="40"/>
    </row>
    <row r="18" spans="1:5" ht="15.75" x14ac:dyDescent="0.25">
      <c r="A18" s="30"/>
      <c r="B18" s="30"/>
      <c r="C18" s="30"/>
      <c r="D18" s="30"/>
      <c r="E18" s="30"/>
    </row>
    <row r="19" spans="1:5" ht="15.75" x14ac:dyDescent="0.25">
      <c r="A19" s="30"/>
      <c r="B19" s="30"/>
      <c r="C19" s="30"/>
      <c r="D19" s="30"/>
      <c r="E19" s="30"/>
    </row>
    <row r="20" spans="1:5" ht="18.75" x14ac:dyDescent="0.3">
      <c r="A20" s="153" t="s">
        <v>171</v>
      </c>
      <c r="B20" s="30"/>
      <c r="C20" s="30"/>
      <c r="D20" s="30"/>
      <c r="E20" s="30"/>
    </row>
    <row r="21" spans="1:5" ht="15.75" x14ac:dyDescent="0.25">
      <c r="A21" s="30"/>
      <c r="B21" s="30"/>
      <c r="C21" s="30"/>
      <c r="D21" s="30"/>
      <c r="E21" s="30"/>
    </row>
    <row r="22" spans="1:5" ht="15.75" x14ac:dyDescent="0.25">
      <c r="A22" s="30"/>
      <c r="B22" s="30"/>
      <c r="C22" s="50" t="s">
        <v>54</v>
      </c>
      <c r="D22" s="30"/>
      <c r="E22" s="30"/>
    </row>
    <row r="23" spans="1:5" ht="15.75" x14ac:dyDescent="0.25">
      <c r="A23" s="30"/>
      <c r="B23" s="30"/>
      <c r="C23" s="50" t="s">
        <v>55</v>
      </c>
      <c r="D23" s="51">
        <f>D13*D11</f>
        <v>58874217.962499999</v>
      </c>
      <c r="E23" s="51">
        <f>E13*E11</f>
        <v>14966616.279999999</v>
      </c>
    </row>
    <row r="24" spans="1:5" ht="15.75" x14ac:dyDescent="0.25">
      <c r="A24" s="30"/>
      <c r="B24" s="30"/>
      <c r="C24" s="50" t="s">
        <v>56</v>
      </c>
      <c r="D24" s="51">
        <f>'Pg 7 UG-190335 Auth-1'!D28</f>
        <v>18444202.5</v>
      </c>
      <c r="E24" s="51">
        <f>'Pg 7 UG-190335 Auth-1'!E28</f>
        <v>3966382.56</v>
      </c>
    </row>
    <row r="25" spans="1:5" ht="15.75" x14ac:dyDescent="0.25">
      <c r="A25" s="30"/>
      <c r="B25" s="30"/>
      <c r="C25" s="50" t="s">
        <v>57</v>
      </c>
      <c r="D25" s="51">
        <f>'Pg 7 UG-190335 Auth-1'!D15</f>
        <v>0</v>
      </c>
      <c r="E25" s="51">
        <f>SUM('Pg 7 UG-190335 Auth-1'!E15:G15)</f>
        <v>0</v>
      </c>
    </row>
    <row r="26" spans="1:5" ht="15.75" x14ac:dyDescent="0.25">
      <c r="A26" s="30"/>
      <c r="B26" s="30"/>
      <c r="C26" s="50" t="s">
        <v>58</v>
      </c>
      <c r="D26" s="52">
        <f>SUM(D23:D25)</f>
        <v>77318420.462500006</v>
      </c>
      <c r="E26" s="52">
        <f>SUM(E23:E25)</f>
        <v>18932998.84</v>
      </c>
    </row>
  </sheetData>
  <mergeCells count="4">
    <mergeCell ref="A1:E1"/>
    <mergeCell ref="A2:E2"/>
    <mergeCell ref="A3:E3"/>
    <mergeCell ref="A4:E4"/>
  </mergeCells>
  <pageMargins left="0.7" right="0.7" top="0.75" bottom="0.75" header="0.3" footer="0.3"/>
  <pageSetup scale="98"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A2205C63B94AE449311544B3965B0C3" ma:contentTypeVersion="44" ma:contentTypeDescription="" ma:contentTypeScope="" ma:versionID="d167d02713486550635e9c36da98f00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2021-05-26T07:00:00+00:00</OpenedDate>
    <SignificantOrder xmlns="dc463f71-b30c-4ab2-9473-d307f9d35888">false</SignificantOrder>
    <Date1 xmlns="dc463f71-b30c-4ab2-9473-d307f9d35888">2021-05-26T07:00:00+00:00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210379</DocketNumber>
    <DelegatedOrder xmlns="dc463f71-b30c-4ab2-9473-d307f9d35888">false</DelegatedOrder>
  </documentManagement>
</p:properties>
</file>

<file path=customXml/itemProps1.xml><?xml version="1.0" encoding="utf-8"?>
<ds:datastoreItem xmlns:ds="http://schemas.openxmlformats.org/officeDocument/2006/customXml" ds:itemID="{6B3C5867-3F25-4375-9F6A-AE1EB847F29A}"/>
</file>

<file path=customXml/itemProps2.xml><?xml version="1.0" encoding="utf-8"?>
<ds:datastoreItem xmlns:ds="http://schemas.openxmlformats.org/officeDocument/2006/customXml" ds:itemID="{3A39A173-7AB4-4994-BC82-09DA86069481}"/>
</file>

<file path=customXml/itemProps3.xml><?xml version="1.0" encoding="utf-8"?>
<ds:datastoreItem xmlns:ds="http://schemas.openxmlformats.org/officeDocument/2006/customXml" ds:itemID="{91410F68-2B10-4617-86A1-4E3E4DEB1DAB}"/>
</file>

<file path=customXml/itemProps4.xml><?xml version="1.0" encoding="utf-8"?>
<ds:datastoreItem xmlns:ds="http://schemas.openxmlformats.org/officeDocument/2006/customXml" ds:itemID="{2B944917-B4DE-4C3B-A85E-DF0E68E41D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Pg 1 Res Nat Gas Deferral</vt:lpstr>
      <vt:lpstr>Pg 2 Non-Res Nat Gas Deferral</vt:lpstr>
      <vt:lpstr>Pg 3 UG-170486 Auth-1</vt:lpstr>
      <vt:lpstr>Pg 4 UG-170486 Auth-2</vt:lpstr>
      <vt:lpstr>Pg 5 UG-170486 Auth-3</vt:lpstr>
      <vt:lpstr>Pg 6 UG-170486 Auth-4</vt:lpstr>
      <vt:lpstr>Pg 7 UG-190335 Auth-1</vt:lpstr>
      <vt:lpstr>Pg 8 UG-190335 Auth-2</vt:lpstr>
      <vt:lpstr>Pg 9 UG-190335 Auth-3</vt:lpstr>
      <vt:lpstr>Pg 10 UG-190335 Auth-4</vt:lpstr>
      <vt:lpstr>Pg 11 Annual Adj (12-2020)</vt:lpstr>
      <vt:lpstr>'Pg 11 Annual Adj (12-2020)'!Print_Area</vt:lpstr>
      <vt:lpstr>'Pg 3 UG-170486 Auth-1'!Print_Area</vt:lpstr>
      <vt:lpstr>'Pg 7 UG-190335 Auth-1'!Print_Area</vt:lpstr>
      <vt:lpstr>'Pg 1 Res Nat Gas Deferral'!Print_Titles</vt:lpstr>
      <vt:lpstr>'Pg 2 Non-Res Nat Gas Deferral'!Print_Titles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2021-05-21T17:37:27Z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0x0101006E56B4D1795A2E4DB2F0B01679ED314A00CA2205C63B94AE449311544B3965B0C3</vt:lpwstr>
  </property>
  <property fmtid="{D5CDD505-2E9C-101B-9397-08002B2CF9AE}" pid="3" name="_docset_NoMedatataSyncRequired">
    <vt:lpwstr>False</vt:lpwstr>
  </property>
  <property fmtid="{D5CDD505-2E9C-101B-9397-08002B2CF9AE}" pid="4" name="IsEFSEC">
    <vt:bool>false</vt:bool>
  </property>
</Properties>
</file>