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020" yWindow="0" windowWidth="23040" windowHeight="9405" activeTab="1"/>
  </bookViews>
  <sheets>
    <sheet name="3 11 20 Forecast Usage by Sched" sheetId="13" r:id="rId1"/>
    <sheet name="Nat Gas 2020 Rate Calc" sheetId="7" r:id="rId2"/>
    <sheet name="Prior Year Amortization" sheetId="14" r:id="rId3"/>
    <sheet name="Earnings Test and 3% Test" sheetId="6" r:id="rId4"/>
    <sheet name="Conversion Factors" sheetId="2" r:id="rId5"/>
    <sheet name="Bill Impact" sheetId="15" r:id="rId6"/>
  </sheets>
  <definedNames>
    <definedName name="_xlnm.Print_Area" localSheetId="4">'Conversion Factors'!$A$1:$F$116</definedName>
    <definedName name="_xlnm.Print_Area" localSheetId="3">'Earnings Test and 3% Test'!$A$1:$G$67</definedName>
    <definedName name="_xlnm.Print_Area" localSheetId="1">'Nat Gas 2020 Rate Calc'!$A$1:$L$88</definedName>
    <definedName name="_xlnm.Print_Area" localSheetId="2">'Prior Year Amortization'!$A$1:$H$31</definedName>
    <definedName name="_xlnm.Print_Titles" localSheetId="3">'Earnings Test and 3% Test'!$1:$4</definedName>
    <definedName name="Z_5C6B1FA1_B621_4699_B8F7_5011E8FF1BCD_.wvu.PrintArea" localSheetId="4" hidden="1">'Conversion Factors'!$A$1:$F$114</definedName>
    <definedName name="Z_5C6B1FA1_B621_4699_B8F7_5011E8FF1BCD_.wvu.PrintArea" localSheetId="3" hidden="1">'Earnings Test and 3% Test'!$B$1:$G$65</definedName>
    <definedName name="Z_5C6B1FA1_B621_4699_B8F7_5011E8FF1BCD_.wvu.PrintArea" localSheetId="1" hidden="1">'Nat Gas 2020 Rate Calc'!$B$1:$K$68</definedName>
    <definedName name="Z_5C6B1FA1_B621_4699_B8F7_5011E8FF1BCD_.wvu.PrintTitles" localSheetId="3" hidden="1">'Earnings Test and 3% Test'!$1:$4</definedName>
    <definedName name="Z_5C6B1FA1_B621_4699_B8F7_5011E8FF1BCD_.wvu.Rows" localSheetId="4" hidden="1">'Conversion Factors'!$1:$88</definedName>
    <definedName name="Z_6A207E9B_31ED_4215_AD4F_ABB2957B65E4_.wvu.PrintArea" localSheetId="4" hidden="1">'Conversion Factors'!$A$1:$F$114</definedName>
    <definedName name="Z_6A207E9B_31ED_4215_AD4F_ABB2957B65E4_.wvu.PrintArea" localSheetId="3" hidden="1">'Earnings Test and 3% Test'!$I$6:$S$48</definedName>
    <definedName name="Z_6A207E9B_31ED_4215_AD4F_ABB2957B65E4_.wvu.PrintArea" localSheetId="1" hidden="1">'Nat Gas 2020 Rate Calc'!$B$1:$K$68</definedName>
    <definedName name="Z_6A207E9B_31ED_4215_AD4F_ABB2957B65E4_.wvu.PrintTitles" localSheetId="3" hidden="1">'Earnings Test and 3% Test'!$1:$4</definedName>
    <definedName name="Z_6A207E9B_31ED_4215_AD4F_ABB2957B65E4_.wvu.Rows" localSheetId="4" hidden="1">'Conversion Factors'!$1:$88</definedName>
  </definedNames>
  <calcPr calcId="152511"/>
  <customWorkbookViews>
    <customWorkbookView name="Earnings Test" guid="{5C6B1FA1-B621-4699-B8F7-5011E8FF1BCD}" maximized="1" xWindow="-9" yWindow="-9" windowWidth="1938" windowHeight="1050" activeSheetId="6"/>
    <customWorkbookView name="Provision Analysis" guid="{6A207E9B-31ED-4215-AD4F-ABB2957B65E4}" maximized="1" xWindow="-9" yWindow="-9" windowWidth="1938" windowHeight="1050" activeSheetId="6"/>
  </customWorkbookViews>
</workbook>
</file>

<file path=xl/calcChain.xml><?xml version="1.0" encoding="utf-8"?>
<calcChain xmlns="http://schemas.openxmlformats.org/spreadsheetml/2006/main">
  <c r="J28" i="15" l="1"/>
  <c r="L13" i="15" l="1"/>
  <c r="D13" i="15"/>
  <c r="D11" i="15"/>
  <c r="E42" i="6" l="1"/>
  <c r="K22" i="7"/>
  <c r="H3" i="7"/>
  <c r="H30" i="14"/>
  <c r="E30" i="14" s="1"/>
  <c r="H31" i="14"/>
  <c r="E31" i="14" s="1"/>
  <c r="H29" i="14"/>
  <c r="E29" i="14" s="1"/>
  <c r="H16" i="14"/>
  <c r="E16" i="14" s="1"/>
  <c r="H17" i="14"/>
  <c r="E17" i="14" s="1"/>
  <c r="H15" i="14"/>
  <c r="E15" i="14" s="1"/>
  <c r="C9" i="14" l="1"/>
  <c r="C23" i="14"/>
  <c r="G15" i="14"/>
  <c r="E106" i="2" l="1"/>
  <c r="F55" i="7" l="1"/>
  <c r="B68" i="7" l="1"/>
  <c r="B67" i="7"/>
  <c r="K10" i="7"/>
  <c r="K11" i="7"/>
  <c r="K12" i="7"/>
  <c r="K13" i="7"/>
  <c r="K14" i="7"/>
  <c r="K15" i="7"/>
  <c r="K16" i="7"/>
  <c r="K17" i="7"/>
  <c r="K18" i="7"/>
  <c r="K19" i="7"/>
  <c r="K20" i="7"/>
  <c r="K9" i="7"/>
  <c r="E10" i="7"/>
  <c r="E11" i="7"/>
  <c r="E12" i="7"/>
  <c r="E13" i="7"/>
  <c r="E14" i="7"/>
  <c r="E15" i="7"/>
  <c r="E16" i="7"/>
  <c r="E17" i="7"/>
  <c r="E18" i="7"/>
  <c r="E19" i="7"/>
  <c r="E20" i="7"/>
  <c r="E9" i="7"/>
  <c r="D15" i="15" l="1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5" i="13"/>
  <c r="D24" i="15" l="1"/>
  <c r="G25" i="14" l="1"/>
  <c r="G28" i="14"/>
  <c r="G23" i="14"/>
  <c r="D9" i="14"/>
  <c r="B23" i="14"/>
  <c r="B10" i="14"/>
  <c r="B24" i="14" s="1"/>
  <c r="B49" i="7"/>
  <c r="B50" i="7" s="1"/>
  <c r="B51" i="7" s="1"/>
  <c r="B52" i="7" s="1"/>
  <c r="B53" i="7" s="1"/>
  <c r="B54" i="7" s="1"/>
  <c r="B55" i="7" s="1"/>
  <c r="F53" i="7"/>
  <c r="L53" i="7" s="1"/>
  <c r="L52" i="7"/>
  <c r="L49" i="7"/>
  <c r="F50" i="7"/>
  <c r="L50" i="7" s="1"/>
  <c r="B9" i="7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57" i="7" l="1"/>
  <c r="B58" i="7" s="1"/>
  <c r="B59" i="7" s="1"/>
  <c r="B60" i="7" s="1"/>
  <c r="B61" i="7" s="1"/>
  <c r="B62" i="7" s="1"/>
  <c r="B63" i="7" s="1"/>
  <c r="B64" i="7" s="1"/>
  <c r="B65" i="7" s="1"/>
  <c r="B66" i="7" s="1"/>
  <c r="F54" i="7"/>
  <c r="L54" i="7" s="1"/>
  <c r="F51" i="7"/>
  <c r="L51" i="7" s="1"/>
  <c r="B11" i="14"/>
  <c r="F57" i="7"/>
  <c r="D7" i="7" s="1"/>
  <c r="L55" i="7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B12" i="14" l="1"/>
  <c r="B25" i="14"/>
  <c r="F58" i="7"/>
  <c r="L57" i="7"/>
  <c r="J29" i="15"/>
  <c r="J27" i="15"/>
  <c r="M19" i="15"/>
  <c r="M18" i="15"/>
  <c r="F17" i="15"/>
  <c r="L24" i="15"/>
  <c r="F15" i="15"/>
  <c r="F13" i="15"/>
  <c r="F11" i="15"/>
  <c r="F24" i="15" l="1"/>
  <c r="J30" i="15"/>
  <c r="D22" i="15"/>
  <c r="B13" i="14"/>
  <c r="B26" i="14"/>
  <c r="L58" i="7"/>
  <c r="F59" i="7"/>
  <c r="F60" i="7" s="1"/>
  <c r="L22" i="15"/>
  <c r="F22" i="15"/>
  <c r="B14" i="14" l="1"/>
  <c r="B15" i="14" s="1"/>
  <c r="B16" i="14" s="1"/>
  <c r="B17" i="14" s="1"/>
  <c r="B27" i="14"/>
  <c r="L59" i="7"/>
  <c r="B28" i="14" l="1"/>
  <c r="F61" i="7" l="1"/>
  <c r="L60" i="7"/>
  <c r="L61" i="7" l="1"/>
  <c r="F62" i="7"/>
  <c r="J7" i="7"/>
  <c r="F63" i="7" l="1"/>
  <c r="L62" i="7"/>
  <c r="H47" i="7"/>
  <c r="H48" i="7"/>
  <c r="H49" i="7"/>
  <c r="H50" i="7"/>
  <c r="H51" i="7"/>
  <c r="H52" i="7"/>
  <c r="H53" i="7"/>
  <c r="H54" i="7"/>
  <c r="H55" i="7"/>
  <c r="H57" i="7"/>
  <c r="H58" i="7"/>
  <c r="H59" i="7"/>
  <c r="H60" i="7"/>
  <c r="H61" i="7"/>
  <c r="H62" i="7"/>
  <c r="H63" i="7"/>
  <c r="H64" i="7"/>
  <c r="H65" i="7"/>
  <c r="H66" i="7"/>
  <c r="H67" i="7"/>
  <c r="H68" i="7"/>
  <c r="H46" i="7"/>
  <c r="B29" i="14" l="1"/>
  <c r="F64" i="7"/>
  <c r="L63" i="7"/>
  <c r="H43" i="7"/>
  <c r="B31" i="14" l="1"/>
  <c r="B30" i="14"/>
  <c r="F65" i="7"/>
  <c r="L64" i="7"/>
  <c r="D23" i="14"/>
  <c r="F23" i="14" s="1"/>
  <c r="C24" i="14" s="1"/>
  <c r="G29" i="14"/>
  <c r="G12" i="14"/>
  <c r="G10" i="14"/>
  <c r="G24" i="14" s="1"/>
  <c r="F9" i="14"/>
  <c r="C10" i="14" s="1"/>
  <c r="H9" i="7"/>
  <c r="H10" i="7"/>
  <c r="H11" i="7"/>
  <c r="H12" i="7"/>
  <c r="H13" i="7"/>
  <c r="H14" i="7"/>
  <c r="H15" i="7"/>
  <c r="H16" i="7"/>
  <c r="H17" i="7"/>
  <c r="H18" i="7"/>
  <c r="H19" i="7"/>
  <c r="H20" i="7"/>
  <c r="H8" i="7"/>
  <c r="M11" i="13"/>
  <c r="D10" i="14" l="1"/>
  <c r="F10" i="14" s="1"/>
  <c r="C11" i="14" s="1"/>
  <c r="G13" i="14"/>
  <c r="G27" i="14" s="1"/>
  <c r="G26" i="14"/>
  <c r="G16" i="14"/>
  <c r="L65" i="7"/>
  <c r="F66" i="7"/>
  <c r="F67" i="7" s="1"/>
  <c r="D24" i="14"/>
  <c r="F24" i="14" s="1"/>
  <c r="C25" i="14" s="1"/>
  <c r="G17" i="14" l="1"/>
  <c r="G31" i="14" s="1"/>
  <c r="G30" i="14"/>
  <c r="L66" i="7"/>
  <c r="D25" i="14"/>
  <c r="F25" i="14" s="1"/>
  <c r="C26" i="14" s="1"/>
  <c r="D11" i="14"/>
  <c r="F11" i="14" s="1"/>
  <c r="C12" i="14" s="1"/>
  <c r="D12" i="14" l="1"/>
  <c r="F12" i="14" s="1"/>
  <c r="C13" i="14" s="1"/>
  <c r="D26" i="14"/>
  <c r="F26" i="14" s="1"/>
  <c r="C27" i="14" s="1"/>
  <c r="D27" i="14" l="1"/>
  <c r="F27" i="14" s="1"/>
  <c r="C28" i="14" s="1"/>
  <c r="D13" i="14"/>
  <c r="F13" i="14" s="1"/>
  <c r="C14" i="14" s="1"/>
  <c r="D14" i="14" l="1"/>
  <c r="F14" i="14" s="1"/>
  <c r="C15" i="14" s="1"/>
  <c r="D28" i="14"/>
  <c r="F28" i="14" s="1"/>
  <c r="C29" i="14" s="1"/>
  <c r="D29" i="14" s="1"/>
  <c r="F68" i="7" l="1"/>
  <c r="L67" i="7"/>
  <c r="L68" i="7" l="1"/>
  <c r="F40" i="6" l="1"/>
  <c r="E40" i="6"/>
  <c r="I73" i="7" l="1"/>
  <c r="C73" i="7"/>
  <c r="M19" i="13" l="1"/>
  <c r="M18" i="13"/>
  <c r="M17" i="13"/>
  <c r="M16" i="13"/>
  <c r="M15" i="13"/>
  <c r="M14" i="13"/>
  <c r="M13" i="13"/>
  <c r="M12" i="13"/>
  <c r="M10" i="13"/>
  <c r="M9" i="13"/>
  <c r="M8" i="13"/>
  <c r="M7" i="13"/>
  <c r="M6" i="13"/>
  <c r="D15" i="14" s="1"/>
  <c r="M5" i="13"/>
  <c r="F15" i="14" l="1"/>
  <c r="F29" i="14"/>
  <c r="C30" i="14" l="1"/>
  <c r="D30" i="14" s="1"/>
  <c r="C16" i="14"/>
  <c r="H42" i="7"/>
  <c r="B42" i="7"/>
  <c r="E22" i="7"/>
  <c r="E30" i="6"/>
  <c r="F30" i="14" l="1"/>
  <c r="D16" i="14"/>
  <c r="F16" i="14" s="1"/>
  <c r="C17" i="14" s="1"/>
  <c r="F42" i="6"/>
  <c r="F28" i="6"/>
  <c r="F26" i="6"/>
  <c r="C31" i="14" l="1"/>
  <c r="D31" i="14" s="1"/>
  <c r="D17" i="14"/>
  <c r="F17" i="14" s="1"/>
  <c r="C56" i="7" s="1"/>
  <c r="C75" i="7" s="1"/>
  <c r="F30" i="6"/>
  <c r="F31" i="14" l="1"/>
  <c r="I56" i="7" s="1"/>
  <c r="I75" i="7" s="1"/>
  <c r="E13" i="6"/>
  <c r="E15" i="6" s="1"/>
  <c r="E17" i="6" l="1"/>
  <c r="E108" i="2" l="1"/>
  <c r="E110" i="2" s="1"/>
  <c r="E114" i="2" l="1"/>
  <c r="E112" i="2"/>
  <c r="E18" i="6" s="1"/>
  <c r="E19" i="6" s="1"/>
  <c r="E21" i="6" s="1"/>
  <c r="E34" i="6" l="1"/>
  <c r="F34" i="6" s="1"/>
  <c r="E35" i="6"/>
  <c r="D27" i="7"/>
  <c r="J27" i="7" s="1"/>
  <c r="F35" i="6" l="1"/>
  <c r="I47" i="7" s="1"/>
  <c r="E36" i="6"/>
  <c r="I74" i="7" l="1"/>
  <c r="I48" i="7"/>
  <c r="J49" i="7" s="1"/>
  <c r="I49" i="7" s="1"/>
  <c r="J50" i="7" s="1"/>
  <c r="F36" i="6"/>
  <c r="C47" i="7"/>
  <c r="I50" i="7" l="1"/>
  <c r="J51" i="7" s="1"/>
  <c r="C74" i="7"/>
  <c r="C48" i="7"/>
  <c r="D49" i="7" s="1"/>
  <c r="I51" i="7" l="1"/>
  <c r="J52" i="7" s="1"/>
  <c r="C49" i="7"/>
  <c r="D50" i="7" s="1"/>
  <c r="I52" i="7" l="1"/>
  <c r="J53" i="7" s="1"/>
  <c r="C50" i="7"/>
  <c r="D51" i="7" l="1"/>
  <c r="C51" i="7" s="1"/>
  <c r="D52" i="7" s="1"/>
  <c r="I53" i="7"/>
  <c r="J54" i="7" s="1"/>
  <c r="C52" i="7" l="1"/>
  <c r="D53" i="7" s="1"/>
  <c r="I54" i="7"/>
  <c r="J55" i="7" s="1"/>
  <c r="C53" i="7" l="1"/>
  <c r="I55" i="7"/>
  <c r="I8" i="7" s="1"/>
  <c r="D54" i="7" l="1"/>
  <c r="C54" i="7" s="1"/>
  <c r="D55" i="7" l="1"/>
  <c r="C55" i="7" s="1"/>
  <c r="C8" i="7" s="1"/>
  <c r="E77" i="2" l="1"/>
  <c r="E79" i="2" s="1"/>
  <c r="E87" i="2" s="1"/>
  <c r="E81" i="2" l="1"/>
  <c r="E83" i="2" s="1"/>
  <c r="E49" i="2" l="1"/>
  <c r="E51" i="2" s="1"/>
  <c r="E59" i="2" s="1"/>
  <c r="E53" i="2" l="1"/>
  <c r="E55" i="2" s="1"/>
  <c r="E18" i="2" l="1"/>
  <c r="E20" i="2" s="1"/>
  <c r="E28" i="2" s="1"/>
  <c r="E22" i="2" l="1"/>
  <c r="E24" i="2" s="1"/>
  <c r="C7" i="7"/>
  <c r="D25" i="7" s="1"/>
  <c r="B35" i="7" s="1"/>
  <c r="D9" i="7" l="1"/>
  <c r="C9" i="7" l="1"/>
  <c r="D10" i="7" l="1"/>
  <c r="C10" i="7" l="1"/>
  <c r="D11" i="7" s="1"/>
  <c r="C11" i="7" s="1"/>
  <c r="D12" i="7" l="1"/>
  <c r="C12" i="7" s="1"/>
  <c r="D13" i="7" l="1"/>
  <c r="C13" i="7" l="1"/>
  <c r="D14" i="7" s="1"/>
  <c r="C14" i="7" l="1"/>
  <c r="D15" i="7" s="1"/>
  <c r="C15" i="7" s="1"/>
  <c r="D16" i="7" l="1"/>
  <c r="C16" i="7" s="1"/>
  <c r="D17" i="7" l="1"/>
  <c r="C17" i="7" s="1"/>
  <c r="D18" i="7" l="1"/>
  <c r="C18" i="7" s="1"/>
  <c r="D19" i="7" l="1"/>
  <c r="C19" i="7" s="1"/>
  <c r="D20" i="7" l="1"/>
  <c r="D22" i="7" s="1"/>
  <c r="D24" i="7" s="1"/>
  <c r="D26" i="7" s="1"/>
  <c r="D28" i="7" s="1"/>
  <c r="C20" i="7" l="1"/>
  <c r="E44" i="6"/>
  <c r="E48" i="6" l="1"/>
  <c r="E50" i="6" s="1"/>
  <c r="E52" i="6" s="1"/>
  <c r="E54" i="6" s="1"/>
  <c r="E56" i="6" s="1"/>
  <c r="D29" i="7" s="1"/>
  <c r="E58" i="6" l="1"/>
  <c r="E60" i="6" s="1"/>
  <c r="E62" i="6" s="1"/>
  <c r="D30" i="7"/>
  <c r="C79" i="7" l="1"/>
  <c r="E30" i="7"/>
  <c r="D31" i="7"/>
  <c r="I11" i="15"/>
  <c r="E67" i="7" l="1"/>
  <c r="E68" i="7"/>
  <c r="E65" i="7"/>
  <c r="E60" i="7"/>
  <c r="E61" i="7"/>
  <c r="E63" i="7"/>
  <c r="E64" i="7"/>
  <c r="E59" i="7"/>
  <c r="E58" i="7"/>
  <c r="E66" i="7"/>
  <c r="E62" i="7"/>
  <c r="E57" i="7"/>
  <c r="D57" i="7" s="1"/>
  <c r="C57" i="7" s="1"/>
  <c r="J11" i="15"/>
  <c r="I31" i="15" s="1"/>
  <c r="J31" i="15" s="1"/>
  <c r="H11" i="15"/>
  <c r="D58" i="7" l="1"/>
  <c r="C58" i="7" s="1"/>
  <c r="J32" i="15"/>
  <c r="J33" i="15"/>
  <c r="G11" i="15"/>
  <c r="M11" i="15" s="1"/>
  <c r="E70" i="7"/>
  <c r="D59" i="7" l="1"/>
  <c r="C59" i="7" s="1"/>
  <c r="D60" i="7" s="1"/>
  <c r="C60" i="7" s="1"/>
  <c r="D61" i="7" s="1"/>
  <c r="C61" i="7" s="1"/>
  <c r="D62" i="7" s="1"/>
  <c r="C62" i="7" s="1"/>
  <c r="D63" i="7" s="1"/>
  <c r="C63" i="7" s="1"/>
  <c r="D64" i="7" s="1"/>
  <c r="C64" i="7" s="1"/>
  <c r="D65" i="7" s="1"/>
  <c r="C65" i="7" s="1"/>
  <c r="D66" i="7" s="1"/>
  <c r="C66" i="7" s="1"/>
  <c r="D67" i="7" s="1"/>
  <c r="C67" i="7" s="1"/>
  <c r="D68" i="7" s="1"/>
  <c r="C68" i="7" s="1"/>
  <c r="D32" i="7" s="1"/>
  <c r="D70" i="7" l="1"/>
  <c r="C76" i="7" s="1"/>
  <c r="C77" i="7" l="1"/>
  <c r="C78" i="7" s="1"/>
  <c r="C80" i="7" s="1"/>
  <c r="I7" i="7"/>
  <c r="J9" i="7" s="1"/>
  <c r="I9" i="7" l="1"/>
  <c r="J25" i="7"/>
  <c r="H35" i="7" s="1"/>
  <c r="J10" i="7" l="1"/>
  <c r="I10" i="7" l="1"/>
  <c r="J11" i="7" s="1"/>
  <c r="I11" i="7" s="1"/>
  <c r="J12" i="7" l="1"/>
  <c r="I12" i="7" s="1"/>
  <c r="J13" i="7" l="1"/>
  <c r="I13" i="7" s="1"/>
  <c r="J14" i="7" l="1"/>
  <c r="I14" i="7" s="1"/>
  <c r="J15" i="7" l="1"/>
  <c r="I15" i="7" s="1"/>
  <c r="J16" i="7" l="1"/>
  <c r="I16" i="7"/>
  <c r="J17" i="7" l="1"/>
  <c r="I17" i="7" s="1"/>
  <c r="J18" i="7" l="1"/>
  <c r="I18" i="7" s="1"/>
  <c r="J19" i="7" l="1"/>
  <c r="I19" i="7" s="1"/>
  <c r="J20" i="7" l="1"/>
  <c r="I20" i="7" l="1"/>
  <c r="J22" i="7"/>
  <c r="J24" i="7" s="1"/>
  <c r="J26" i="7" s="1"/>
  <c r="J28" i="7" s="1"/>
  <c r="F44" i="6" l="1"/>
  <c r="F48" i="6" l="1"/>
  <c r="F50" i="6" s="1"/>
  <c r="F52" i="6" s="1"/>
  <c r="F54" i="6" s="1"/>
  <c r="F56" i="6" s="1"/>
  <c r="J29" i="7" s="1"/>
  <c r="J32" i="7" l="1"/>
  <c r="J30" i="7"/>
  <c r="F58" i="6"/>
  <c r="F60" i="6" s="1"/>
  <c r="F62" i="6" s="1"/>
  <c r="J31" i="7" l="1"/>
  <c r="K30" i="7"/>
  <c r="I79" i="7"/>
  <c r="I13" i="15"/>
  <c r="K59" i="7" l="1"/>
  <c r="K67" i="7"/>
  <c r="K61" i="7"/>
  <c r="K62" i="7"/>
  <c r="K63" i="7"/>
  <c r="K64" i="7"/>
  <c r="K65" i="7"/>
  <c r="K66" i="7"/>
  <c r="K60" i="7"/>
  <c r="K68" i="7"/>
  <c r="K58" i="7"/>
  <c r="K57" i="7"/>
  <c r="J57" i="7" s="1"/>
  <c r="I57" i="7" s="1"/>
  <c r="H13" i="15"/>
  <c r="I17" i="15"/>
  <c r="I15" i="15"/>
  <c r="J13" i="15"/>
  <c r="J58" i="7" l="1"/>
  <c r="I58" i="7" s="1"/>
  <c r="J59" i="7" s="1"/>
  <c r="I59" i="7" s="1"/>
  <c r="J60" i="7" s="1"/>
  <c r="I60" i="7" s="1"/>
  <c r="J61" i="7" s="1"/>
  <c r="I61" i="7" s="1"/>
  <c r="J62" i="7" s="1"/>
  <c r="I62" i="7" s="1"/>
  <c r="J15" i="15"/>
  <c r="H15" i="15"/>
  <c r="G15" i="15" s="1"/>
  <c r="M15" i="15" s="1"/>
  <c r="J17" i="15"/>
  <c r="H17" i="15"/>
  <c r="G17" i="15" s="1"/>
  <c r="G13" i="15"/>
  <c r="K70" i="7"/>
  <c r="J63" i="7" l="1"/>
  <c r="I63" i="7" s="1"/>
  <c r="J64" i="7" s="1"/>
  <c r="H24" i="15"/>
  <c r="H22" i="15"/>
  <c r="M13" i="15"/>
  <c r="G22" i="15"/>
  <c r="M22" i="15" s="1"/>
  <c r="G24" i="15"/>
  <c r="M24" i="15" s="1"/>
  <c r="I64" i="7" l="1"/>
  <c r="J65" i="7" s="1"/>
  <c r="I65" i="7" s="1"/>
  <c r="J66" i="7" s="1"/>
  <c r="I66" i="7" s="1"/>
  <c r="J67" i="7" s="1"/>
  <c r="I67" i="7" s="1"/>
  <c r="J68" i="7" s="1"/>
  <c r="I68" i="7" s="1"/>
  <c r="I77" i="7" s="1"/>
  <c r="J70" i="7" l="1"/>
  <c r="I76" i="7" s="1"/>
  <c r="I78" i="7" s="1"/>
  <c r="I80" i="7" s="1"/>
</calcChain>
</file>

<file path=xl/comments1.xml><?xml version="1.0" encoding="utf-8"?>
<comments xmlns="http://schemas.openxmlformats.org/spreadsheetml/2006/main">
  <authors>
    <author>Author</author>
  </authors>
  <commentList>
    <comment ref="B77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07/31/2021 balance remaining due to rounding error.</t>
        </r>
      </text>
    </comment>
    <comment ref="H77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07/31/2021 balance remaining due to rounding error.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therms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2019 normalized billing determinants at present billing rates effective 4/1/2020</t>
        </r>
      </text>
    </comment>
  </commentList>
</comments>
</file>

<file path=xl/sharedStrings.xml><?xml version="1.0" encoding="utf-8"?>
<sst xmlns="http://schemas.openxmlformats.org/spreadsheetml/2006/main" count="323" uniqueCount="195">
  <si>
    <t>Avista Utilities</t>
  </si>
  <si>
    <t>Calculation of Decoupling Mechanism Surcharge or Rebate Amortization Rates</t>
  </si>
  <si>
    <t>Date</t>
  </si>
  <si>
    <t>Interest</t>
  </si>
  <si>
    <t>Residential Natural Gas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</si>
  <si>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</si>
  <si>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</si>
  <si>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</si>
  <si>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</si>
  <si>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</si>
  <si>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</si>
  <si>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</si>
  <si>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</si>
  <si>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</si>
  <si>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Non-Residential Natural Gas</t>
  </si>
  <si>
    <t>AVISTA UTILITIES</t>
  </si>
  <si>
    <t>Revenue Conversion Factor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</si>
  <si>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</si>
  <si>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</si>
  <si>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</si>
  <si>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</si>
  <si>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</si>
  <si>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</si>
  <si>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</si>
  <si>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</si>
  <si>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</si>
  <si>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</si>
  <si>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</si>
  <si>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</si>
  <si>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</si>
  <si>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</si>
  <si>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Washington -Natural Gas System</t>
  </si>
  <si>
    <t>UG-140189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</si>
  <si>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</si>
  <si>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</si>
  <si>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</si>
  <si>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</si>
  <si>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Utilized in Decoupling Journal Calculations</t>
  </si>
  <si>
    <t>Twelve Months Ended September 30, 2015</t>
  </si>
  <si>
    <t>UG-160229 current GRC</t>
  </si>
  <si>
    <t>Washington - Gas System</t>
  </si>
  <si>
    <t xml:space="preserve">  Uncollectibles  </t>
  </si>
  <si>
    <t xml:space="preserve">  Commission Fees </t>
  </si>
  <si>
    <t xml:space="preserve">  Washington Excise Tax  </t>
  </si>
  <si>
    <t>Gross Up Factor</t>
  </si>
  <si>
    <t>Decoupling Mechanism Earnings Test and 3% Test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</si>
  <si>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</si>
  <si>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</si>
  <si>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</si>
  <si>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</si>
  <si>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</si>
  <si>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</si>
  <si>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</si>
  <si>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</si>
  <si>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</si>
  <si>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</si>
  <si>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</si>
  <si>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</si>
  <si>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</si>
  <si>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</si>
  <si>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</si>
  <si>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</si>
  <si>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</si>
  <si>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</si>
  <si>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</si>
  <si>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</si>
  <si>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</si>
  <si>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</si>
  <si>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</si>
  <si>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</si>
  <si>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</si>
  <si>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</si>
  <si>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</si>
  <si>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Estimated Carryover Balance (5)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</si>
  <si>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</si>
  <si>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</si>
  <si>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</si>
  <si>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</si>
  <si>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</si>
  <si>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</si>
  <si>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</si>
  <si>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</si>
  <si>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 xml:space="preserve">  Non-Residential</t>
  </si>
  <si>
    <t>WA101</t>
  </si>
  <si>
    <t>WA111</t>
  </si>
  <si>
    <t>WA121</t>
  </si>
  <si>
    <t>WA132</t>
  </si>
  <si>
    <t>WA146</t>
  </si>
  <si>
    <t>WA148</t>
  </si>
  <si>
    <t>Bill Determinants Tab</t>
  </si>
  <si>
    <t>Total Loads by Rate Sched:</t>
  </si>
  <si>
    <t>RES</t>
  </si>
  <si>
    <t>Non-RES</t>
  </si>
  <si>
    <t>Washington Natural Gas</t>
  </si>
  <si>
    <t>Line No.</t>
  </si>
  <si>
    <t xml:space="preserve">Total </t>
  </si>
  <si>
    <t>Less Earnings Sharing</t>
  </si>
  <si>
    <t>Customer Surcharge Revenue</t>
  </si>
  <si>
    <t>Carryover Deferred Revenue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</si>
  <si>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</si>
  <si>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</si>
  <si>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</si>
  <si>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</si>
  <si>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</si>
  <si>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</si>
  <si>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</si>
  <si>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</si>
  <si>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</si>
  <si>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</si>
  <si>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>Add Revenue Related Expense Adj.</t>
  </si>
  <si>
    <t>See page 4 of Attachment A for estimated carryover balance calculations.</t>
  </si>
  <si>
    <t>Gross Revenue Adjustment</t>
  </si>
  <si>
    <t>Net of Revenue Related Expenses</t>
  </si>
  <si>
    <t>Residential</t>
  </si>
  <si>
    <t>Non-Residential</t>
  </si>
  <si>
    <t>See pages 6 and 7 of Attachment A for earnings test and 3% test adjustment calculations.</t>
  </si>
  <si>
    <t>Decoupling Mechanism Prior Surcharge or Rebate Amortization</t>
  </si>
  <si>
    <t>Regulatory Asset Beginning Balance</t>
  </si>
  <si>
    <t>Regulatory Asset Ending Balance</t>
  </si>
  <si>
    <t>Interest Rate</t>
  </si>
  <si>
    <t>Aug - Oct Forecast Usage</t>
  </si>
  <si>
    <t>Residential Natural Gas Surcharge</t>
  </si>
  <si>
    <t>Non-Residential Natural Gas Surcharge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</si>
  <si>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</si>
  <si>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</si>
  <si>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</si>
  <si>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</si>
  <si>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</si>
  <si>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</si>
  <si>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</si>
  <si>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</si>
  <si>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</si>
  <si>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</si>
  <si>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</si>
  <si>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</si>
  <si>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</si>
  <si>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</si>
  <si>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</si>
  <si>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</si>
  <si>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</si>
  <si>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</si>
  <si>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</si>
  <si>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</si>
  <si>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</si>
  <si>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</si>
  <si>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</si>
  <si>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</si>
  <si>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</si>
  <si>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</si>
  <si>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General Service</t>
  </si>
  <si>
    <t>101/102</t>
  </si>
  <si>
    <t>Large General Service</t>
  </si>
  <si>
    <t>N/A</t>
  </si>
  <si>
    <t>High Annual Load Factor Large General Service</t>
  </si>
  <si>
    <t>Interruptible Service</t>
  </si>
  <si>
    <t>Transportation Service</t>
  </si>
  <si>
    <t>Special Contract Transportation Service</t>
  </si>
  <si>
    <t>Non-Residential Group Subtotal</t>
  </si>
  <si>
    <t xml:space="preserve">Average Residential Bill </t>
  </si>
  <si>
    <t>Basic Charge</t>
  </si>
  <si>
    <t>First 70 therms</t>
  </si>
  <si>
    <t>Next 70 therms</t>
  </si>
  <si>
    <t>Proposed rate change</t>
  </si>
  <si>
    <t>Residential Bill at Proposed rates</t>
  </si>
  <si>
    <t>WA112</t>
  </si>
  <si>
    <t>Incr/(Decr)</t>
  </si>
  <si>
    <t xml:space="preserve">  Federal Income Tax @ 21%</t>
  </si>
  <si>
    <t>Proposed Percent Increase</t>
  </si>
  <si>
    <t>111/112/116</t>
  </si>
  <si>
    <t>121/122/126</t>
  </si>
  <si>
    <t>GSFM Mar MidMonth_(03 11 20 pricing) - v3a April WA Rate Update Severe Recession</t>
  </si>
  <si>
    <t>Effective August 1, 2020 - July 31, 2021</t>
  </si>
  <si>
    <t>2019 Commission Basis conversion factor, see page 8 of  Attachment A.</t>
  </si>
  <si>
    <t>Calculate Estimated Monthly Balances through July 2021</t>
  </si>
  <si>
    <t>Add Interest through 07/31/2021</t>
  </si>
  <si>
    <t>Prior Year Carryover Balance</t>
  </si>
  <si>
    <t>Add Prior Year Carryover Balance</t>
  </si>
  <si>
    <t>2019 Deferred Revenue</t>
  </si>
  <si>
    <t>2019 Washington Natural Gas Deferrals</t>
  </si>
  <si>
    <t>2019 Commission Basis Earnings Test for Decoupling</t>
  </si>
  <si>
    <t>2019 Total Earnings Test Sharing</t>
  </si>
  <si>
    <t>Revenue From 2019 Normalized Loads and Customers at Present Billing Rates</t>
  </si>
  <si>
    <t>Revenue From 2019 Normalized Loads and Customers at Present Billing Rates (Note 1)</t>
  </si>
  <si>
    <t>August 2020 - July 2021 Usage</t>
  </si>
  <si>
    <t>(1)  Revenue from 2019 normalized loads and customers at present billing rates effective since April 1, 2020.</t>
  </si>
  <si>
    <t>TWELVE MONTHS ENDED December 31, 2019</t>
  </si>
  <si>
    <t>2019 Commission Basis Conversion Factor</t>
  </si>
  <si>
    <t>Docket No. UG-190710</t>
  </si>
  <si>
    <t>Effective November 1, 2019 - July 31, 2020</t>
  </si>
  <si>
    <t xml:space="preserve">Present Decoupling Surcharge Recovery Rates </t>
  </si>
  <si>
    <t>(2)  The carryover balances will differ from the 3% adjustment amounts due to the revenue related expense gross up partially offset by additional interest on the outstanding balance during the amortization period.</t>
  </si>
  <si>
    <t>3% Test Adjustment (2)</t>
  </si>
  <si>
    <t>2020 Decoupling Schedule 175 Filing</t>
  </si>
  <si>
    <t>Residential Bill at 4/1/2020 rates</t>
  </si>
  <si>
    <t xml:space="preserve"> @66 therms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</si>
</sst>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12"/>
      <name val="Times New Roman"/>
      <family val="1"/>
    </font>
    <font>
      <sz val="12"/>
      <color indexed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166" fontId="5" fillId="0" borderId="0" xfId="0" applyNumberFormat="1" applyFont="1"/>
    <xf numFmtId="166" fontId="2" fillId="0" borderId="0" xfId="0" applyNumberFormat="1" applyFont="1"/>
    <xf numFmtId="166" fontId="4" fillId="0" borderId="0" xfId="0" applyNumberFormat="1" applyFont="1"/>
    <xf numFmtId="166" fontId="5" fillId="0" borderId="2" xfId="0" applyNumberFormat="1" applyFont="1" applyBorder="1"/>
    <xf numFmtId="166" fontId="5" fillId="0" borderId="0" xfId="0" applyNumberFormat="1" applyFont="1" applyBorder="1"/>
    <xf numFmtId="10" fontId="6" fillId="0" borderId="0" xfId="0" applyNumberFormat="1" applyFont="1"/>
    <xf numFmtId="166" fontId="5" fillId="0" borderId="1" xfId="0" applyNumberFormat="1" applyFont="1" applyBorder="1"/>
    <xf numFmtId="0" fontId="1" fillId="0" borderId="0" xfId="3"/>
    <xf numFmtId="167" fontId="5" fillId="0" borderId="3" xfId="0" applyNumberFormat="1" applyFont="1" applyBorder="1"/>
    <xf numFmtId="166" fontId="3" fillId="2" borderId="4" xfId="0" applyNumberFormat="1" applyFont="1" applyFill="1" applyBorder="1"/>
    <xf numFmtId="0" fontId="2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166" fontId="5" fillId="3" borderId="3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164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1" fillId="0" borderId="0" xfId="6" quotePrefix="1" applyBorder="1" applyAlignment="1">
      <alignment horizontal="left"/>
    </xf>
    <xf numFmtId="0" fontId="0" fillId="0" borderId="0" xfId="0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4" fillId="0" borderId="0" xfId="1" applyNumberFormat="1" applyFont="1"/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/>
    <xf numFmtId="5" fontId="0" fillId="0" borderId="0" xfId="0" applyNumberFormat="1" applyBorder="1"/>
    <xf numFmtId="0" fontId="0" fillId="0" borderId="0" xfId="0" applyAlignment="1">
      <alignment horizontal="center"/>
    </xf>
    <xf numFmtId="10" fontId="0" fillId="0" borderId="0" xfId="0" applyNumberFormat="1"/>
    <xf numFmtId="169" fontId="0" fillId="0" borderId="0" xfId="0" applyNumberFormat="1"/>
    <xf numFmtId="5" fontId="0" fillId="0" borderId="0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top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7" fontId="0" fillId="0" borderId="0" xfId="0" applyNumberFormat="1" applyBorder="1"/>
    <xf numFmtId="44" fontId="0" fillId="0" borderId="0" xfId="0" applyNumberFormat="1"/>
    <xf numFmtId="10" fontId="14" fillId="0" borderId="0" xfId="0" applyNumberFormat="1" applyFont="1"/>
    <xf numFmtId="44" fontId="0" fillId="0" borderId="0" xfId="5" applyNumberFormat="1" applyFont="1" applyFill="1"/>
    <xf numFmtId="44" fontId="9" fillId="0" borderId="0" xfId="0" applyNumberFormat="1" applyFont="1"/>
    <xf numFmtId="17" fontId="9" fillId="0" borderId="0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0" fontId="8" fillId="0" borderId="0" xfId="0" quotePrefix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quotePrefix="1" applyFont="1" applyAlignment="1">
      <alignment horizontal="center" vertical="center"/>
    </xf>
    <xf numFmtId="37" fontId="0" fillId="0" borderId="0" xfId="0" applyNumberFormat="1" applyAlignment="1">
      <alignment vertical="center"/>
    </xf>
    <xf numFmtId="169" fontId="0" fillId="0" borderId="0" xfId="5" applyNumberFormat="1" applyFont="1" applyAlignment="1">
      <alignment vertical="center"/>
    </xf>
    <xf numFmtId="169" fontId="0" fillId="0" borderId="0" xfId="0" applyNumberFormat="1" applyAlignment="1">
      <alignment vertical="center"/>
    </xf>
    <xf numFmtId="172" fontId="12" fillId="0" borderId="0" xfId="5" applyNumberFormat="1" applyFont="1" applyAlignment="1">
      <alignment vertical="center"/>
    </xf>
    <xf numFmtId="17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0" fontId="0" fillId="0" borderId="0" xfId="2" applyNumberFormat="1" applyFont="1" applyAlignment="1">
      <alignment vertical="center"/>
    </xf>
    <xf numFmtId="0" fontId="8" fillId="0" borderId="0" xfId="0" applyFont="1" applyAlignment="1">
      <alignment horizontal="left" indent="3"/>
    </xf>
    <xf numFmtId="169" fontId="0" fillId="0" borderId="0" xfId="0" applyNumberFormat="1" applyFill="1"/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10" fontId="0" fillId="0" borderId="0" xfId="0" applyNumberFormat="1" applyBorder="1"/>
    <xf numFmtId="0" fontId="0" fillId="0" borderId="0" xfId="0" applyFill="1" applyBorder="1" applyAlignment="1">
      <alignment horizontal="center" wrapText="1"/>
    </xf>
    <xf numFmtId="10" fontId="18" fillId="0" borderId="0" xfId="0" applyNumberFormat="1" applyFont="1"/>
    <xf numFmtId="7" fontId="0" fillId="0" borderId="0" xfId="5" applyNumberFormat="1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37" fontId="9" fillId="0" borderId="0" xfId="0" applyNumberFormat="1" applyFont="1"/>
    <xf numFmtId="169" fontId="9" fillId="0" borderId="0" xfId="5" applyNumberFormat="1" applyFont="1"/>
    <xf numFmtId="169" fontId="9" fillId="0" borderId="0" xfId="0" applyNumberFormat="1" applyFont="1"/>
    <xf numFmtId="172" fontId="9" fillId="0" borderId="0" xfId="0" applyNumberFormat="1" applyFont="1"/>
    <xf numFmtId="0" fontId="9" fillId="0" borderId="0" xfId="0" applyFont="1" applyAlignment="1">
      <alignment horizontal="center"/>
    </xf>
    <xf numFmtId="43" fontId="0" fillId="0" borderId="0" xfId="1" applyFont="1"/>
    <xf numFmtId="44" fontId="14" fillId="0" borderId="0" xfId="5" applyNumberFormat="1" applyFont="1" applyFill="1"/>
    <xf numFmtId="172" fontId="8" fillId="0" borderId="0" xfId="5" applyNumberFormat="1" applyFont="1"/>
    <xf numFmtId="172" fontId="8" fillId="0" borderId="0" xfId="5" applyNumberFormat="1" applyFont="1" applyAlignment="1">
      <alignment vertical="center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center"/>
    </xf>
    <xf numFmtId="37" fontId="0" fillId="0" borderId="0" xfId="0" applyNumberFormat="1" applyFill="1" applyAlignment="1">
      <alignment vertical="center"/>
    </xf>
    <xf numFmtId="172" fontId="8" fillId="0" borderId="0" xfId="5" applyNumberFormat="1" applyFont="1" applyFill="1" applyAlignment="1">
      <alignment vertical="center"/>
    </xf>
    <xf numFmtId="169" fontId="0" fillId="0" borderId="0" xfId="5" applyNumberFormat="1" applyFont="1" applyFill="1" applyAlignment="1">
      <alignment vertical="center"/>
    </xf>
    <xf numFmtId="169" fontId="0" fillId="0" borderId="0" xfId="0" applyNumberFormat="1" applyFill="1" applyAlignment="1">
      <alignment vertical="center"/>
    </xf>
    <xf numFmtId="172" fontId="12" fillId="0" borderId="0" xfId="5" applyNumberFormat="1" applyFont="1" applyFill="1" applyAlignment="1">
      <alignment vertical="center"/>
    </xf>
    <xf numFmtId="172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0" fontId="0" fillId="0" borderId="0" xfId="2" applyNumberFormat="1" applyFont="1" applyFill="1" applyAlignment="1">
      <alignment vertical="center"/>
    </xf>
    <xf numFmtId="16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0" fontId="14" fillId="0" borderId="0" xfId="0" applyNumberFormat="1" applyFont="1" applyFill="1" applyBorder="1"/>
    <xf numFmtId="5" fontId="14" fillId="0" borderId="0" xfId="0" applyNumberFormat="1" applyFont="1" applyFill="1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166" fontId="21" fillId="0" borderId="0" xfId="0" applyNumberFormat="1" applyFont="1"/>
    <xf numFmtId="166" fontId="20" fillId="0" borderId="0" xfId="0" applyNumberFormat="1" applyFont="1"/>
    <xf numFmtId="0" fontId="22" fillId="0" borderId="0" xfId="0" applyFont="1"/>
    <xf numFmtId="0" fontId="21" fillId="0" borderId="0" xfId="0" applyFont="1" applyAlignment="1">
      <alignment horizontal="center"/>
    </xf>
    <xf numFmtId="166" fontId="20" fillId="0" borderId="0" xfId="4" applyNumberFormat="1" applyFont="1"/>
    <xf numFmtId="166" fontId="23" fillId="0" borderId="0" xfId="0" applyNumberFormat="1" applyFont="1"/>
    <xf numFmtId="166" fontId="20" fillId="0" borderId="2" xfId="0" applyNumberFormat="1" applyFont="1" applyBorder="1"/>
    <xf numFmtId="10" fontId="24" fillId="0" borderId="0" xfId="0" applyNumberFormat="1" applyFont="1"/>
    <xf numFmtId="166" fontId="20" fillId="0" borderId="5" xfId="0" applyNumberFormat="1" applyFont="1" applyBorder="1"/>
    <xf numFmtId="0" fontId="1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justify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1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quotePrefix="1" applyAlignment="1">
      <alignment horizontal="justify" wrapText="1"/>
    </xf>
    <xf numFmtId="0" fontId="0" fillId="0" borderId="0" xfId="0" applyFont="1" applyAlignment="1">
      <alignment horizontal="left" vertical="top" wrapText="1"/>
    </xf>
    <xf numFmtId="0" fontId="0" fillId="0" borderId="0" xfId="0" quotePrefix="1" applyFill="1" applyAlignment="1">
      <alignment horizontal="justify" wrapText="1"/>
    </xf>
    <xf numFmtId="0" fontId="2" fillId="0" borderId="0" xfId="0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2" fillId="0" borderId="0" xfId="3" applyFont="1" applyAlignment="1">
      <alignment horizontal="center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/>
    <cellStyle name="Normal 2 2" xfId="4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70"/>
  <sheetViews>
    <sheetView workbookViewId="0">
      <selection activeCell="C21" sqref="C21:C23"/>
    </sheetView>
  </sheetViews>
  <sheetFormatPr defaultRowHeight="15" outlineLevelCol="1" x14ac:dyDescent="0.25"/>
  <cols>
    <col min="2" max="2" width="3.7109375" customWidth="1"/>
    <col min="3" max="3" width="13.7109375" customWidth="1" outlineLevel="1"/>
    <col min="4" max="4" width="12.5703125" customWidth="1" outlineLevel="1"/>
    <col min="5" max="5" width="12.5703125" style="81" customWidth="1" outlineLevel="1"/>
    <col min="6" max="7" width="11.140625" customWidth="1" outlineLevel="1"/>
    <col min="8" max="9" width="12.5703125" customWidth="1" outlineLevel="1"/>
    <col min="10" max="10" width="2.140625" customWidth="1"/>
    <col min="12" max="12" width="2.140625" customWidth="1"/>
    <col min="13" max="13" width="12.7109375" customWidth="1"/>
    <col min="14" max="14" width="11.42578125" customWidth="1"/>
  </cols>
  <sheetData>
    <row r="1" spans="1:16" x14ac:dyDescent="0.25">
      <c r="A1" s="177"/>
      <c r="B1" s="64" t="s">
        <v>170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x14ac:dyDescent="0.25">
      <c r="A2" s="177"/>
      <c r="B2" t="s">
        <v>89</v>
      </c>
    </row>
    <row r="3" spans="1:16" x14ac:dyDescent="0.25">
      <c r="A3" s="62"/>
      <c r="B3" s="62"/>
      <c r="C3" s="62" t="s">
        <v>90</v>
      </c>
      <c r="K3" s="178"/>
      <c r="L3" s="69"/>
      <c r="M3" s="179" t="s">
        <v>93</v>
      </c>
      <c r="N3" s="180"/>
    </row>
    <row r="4" spans="1:16" x14ac:dyDescent="0.25">
      <c r="C4" s="67" t="s">
        <v>83</v>
      </c>
      <c r="D4" s="67" t="s">
        <v>84</v>
      </c>
      <c r="E4" s="104" t="s">
        <v>164</v>
      </c>
      <c r="F4" s="67" t="s">
        <v>85</v>
      </c>
      <c r="G4" s="67" t="s">
        <v>86</v>
      </c>
      <c r="H4" s="67" t="s">
        <v>87</v>
      </c>
      <c r="I4" s="67" t="s">
        <v>88</v>
      </c>
      <c r="K4" s="178"/>
      <c r="L4" s="69"/>
      <c r="M4" s="65" t="s">
        <v>91</v>
      </c>
      <c r="N4" s="66" t="s">
        <v>92</v>
      </c>
    </row>
    <row r="5" spans="1:16" x14ac:dyDescent="0.25">
      <c r="A5" s="61">
        <v>43952</v>
      </c>
      <c r="C5" s="49">
        <v>4529718.2890463946</v>
      </c>
      <c r="D5" s="49">
        <v>2291693.0914520267</v>
      </c>
      <c r="E5" s="49">
        <v>181381.82462665249</v>
      </c>
      <c r="F5" s="49">
        <v>0</v>
      </c>
      <c r="G5" s="49">
        <v>44811.436407884408</v>
      </c>
      <c r="H5" s="49">
        <v>2675597</v>
      </c>
      <c r="I5" s="49">
        <v>4022284</v>
      </c>
      <c r="K5" s="70"/>
      <c r="L5" s="49"/>
      <c r="M5" s="53">
        <f t="shared" ref="M5:M19" si="0">C5</f>
        <v>4529718.2890463946</v>
      </c>
      <c r="N5" s="53">
        <f>D5+E5+F5-K5</f>
        <v>2473074.9160786793</v>
      </c>
    </row>
    <row r="6" spans="1:16" x14ac:dyDescent="0.25">
      <c r="A6" s="61">
        <f>A5+31</f>
        <v>43983</v>
      </c>
      <c r="C6" s="49">
        <v>2838014.2602204974</v>
      </c>
      <c r="D6" s="49">
        <v>1717751.0226273963</v>
      </c>
      <c r="E6" s="49">
        <v>104221.20256640071</v>
      </c>
      <c r="F6" s="49">
        <v>0</v>
      </c>
      <c r="G6" s="49">
        <v>39528.349160523932</v>
      </c>
      <c r="H6" s="49">
        <v>2453888</v>
      </c>
      <c r="I6" s="49">
        <v>3742421</v>
      </c>
      <c r="K6" s="70"/>
      <c r="L6" s="49"/>
      <c r="M6" s="53">
        <f t="shared" si="0"/>
        <v>2838014.2602204974</v>
      </c>
      <c r="N6" s="53">
        <f t="shared" ref="N6:N19" si="1">D6+E6+F6-K6</f>
        <v>1821972.2251937969</v>
      </c>
    </row>
    <row r="7" spans="1:16" x14ac:dyDescent="0.25">
      <c r="A7" s="61">
        <f t="shared" ref="A7:A19" si="2">A6+31</f>
        <v>44014</v>
      </c>
      <c r="C7" s="49">
        <v>2250101.2759067956</v>
      </c>
      <c r="D7" s="49">
        <v>1818824.1488063361</v>
      </c>
      <c r="E7" s="49">
        <v>85972.148002544971</v>
      </c>
      <c r="F7" s="49">
        <v>0</v>
      </c>
      <c r="G7" s="49">
        <v>46986.732743223787</v>
      </c>
      <c r="H7" s="49">
        <v>2250316</v>
      </c>
      <c r="I7" s="49">
        <v>3585707</v>
      </c>
      <c r="K7" s="70"/>
      <c r="L7" s="49"/>
      <c r="M7" s="53">
        <f t="shared" si="0"/>
        <v>2250101.2759067956</v>
      </c>
      <c r="N7" s="53">
        <f t="shared" si="1"/>
        <v>1904796.296808881</v>
      </c>
    </row>
    <row r="8" spans="1:16" x14ac:dyDescent="0.25">
      <c r="A8" s="61">
        <f t="shared" si="2"/>
        <v>44045</v>
      </c>
      <c r="C8" s="49">
        <v>2051714.1943384032</v>
      </c>
      <c r="D8" s="49">
        <v>2015856.6213115635</v>
      </c>
      <c r="E8" s="49">
        <v>78145.375467457852</v>
      </c>
      <c r="F8" s="49">
        <v>0</v>
      </c>
      <c r="G8" s="49">
        <v>50180.912201200175</v>
      </c>
      <c r="H8" s="49">
        <v>2147173</v>
      </c>
      <c r="I8" s="49">
        <v>3443481</v>
      </c>
      <c r="K8" s="70"/>
      <c r="L8" s="49"/>
      <c r="M8" s="53">
        <f t="shared" si="0"/>
        <v>2051714.1943384032</v>
      </c>
      <c r="N8" s="53">
        <f t="shared" si="1"/>
        <v>2094001.9967790213</v>
      </c>
    </row>
    <row r="9" spans="1:16" x14ac:dyDescent="0.25">
      <c r="A9" s="61">
        <f t="shared" si="2"/>
        <v>44076</v>
      </c>
      <c r="C9" s="49">
        <v>3178329.5174576221</v>
      </c>
      <c r="D9" s="49">
        <v>2305967.0462892577</v>
      </c>
      <c r="E9" s="49">
        <v>76974.595649341878</v>
      </c>
      <c r="F9" s="49">
        <v>0</v>
      </c>
      <c r="G9" s="49">
        <v>43834.20955724291</v>
      </c>
      <c r="H9" s="49">
        <v>2171264</v>
      </c>
      <c r="I9" s="49">
        <v>3557316</v>
      </c>
      <c r="K9" s="70"/>
      <c r="L9" s="49"/>
      <c r="M9" s="53">
        <f t="shared" si="0"/>
        <v>3178329.5174576221</v>
      </c>
      <c r="N9" s="53">
        <f t="shared" si="1"/>
        <v>2382941.6419385998</v>
      </c>
    </row>
    <row r="10" spans="1:16" x14ac:dyDescent="0.25">
      <c r="A10" s="61">
        <f t="shared" si="2"/>
        <v>44107</v>
      </c>
      <c r="C10" s="49">
        <v>8700753.2485203929</v>
      </c>
      <c r="D10" s="49">
        <v>4976153.4860988548</v>
      </c>
      <c r="E10" s="49">
        <v>162513.53369036299</v>
      </c>
      <c r="F10" s="49">
        <v>0</v>
      </c>
      <c r="G10" s="49">
        <v>88845.101335277897</v>
      </c>
      <c r="H10" s="49">
        <v>2309519</v>
      </c>
      <c r="I10" s="49">
        <v>3631984</v>
      </c>
      <c r="K10" s="70"/>
      <c r="L10" s="49"/>
      <c r="M10" s="53">
        <f t="shared" si="0"/>
        <v>8700753.2485203929</v>
      </c>
      <c r="N10" s="53">
        <f t="shared" si="1"/>
        <v>5138667.019789218</v>
      </c>
    </row>
    <row r="11" spans="1:16" x14ac:dyDescent="0.25">
      <c r="A11" s="61">
        <f t="shared" si="2"/>
        <v>44138</v>
      </c>
      <c r="C11" s="49">
        <v>15717991.167721258</v>
      </c>
      <c r="D11" s="49">
        <v>6773752.3579140548</v>
      </c>
      <c r="E11" s="49">
        <v>366320.22643171204</v>
      </c>
      <c r="F11" s="49">
        <v>0</v>
      </c>
      <c r="G11" s="49">
        <v>112148.78783862102</v>
      </c>
      <c r="H11" s="49">
        <v>2786394</v>
      </c>
      <c r="I11" s="49">
        <v>4106406</v>
      </c>
      <c r="K11" s="70"/>
      <c r="L11" s="49"/>
      <c r="M11" s="53">
        <f t="shared" si="0"/>
        <v>15717991.167721258</v>
      </c>
      <c r="N11" s="53">
        <f t="shared" si="1"/>
        <v>7140072.5843457673</v>
      </c>
    </row>
    <row r="12" spans="1:16" x14ac:dyDescent="0.25">
      <c r="A12" s="61">
        <f t="shared" si="2"/>
        <v>44169</v>
      </c>
      <c r="C12" s="49">
        <v>21723607.759825606</v>
      </c>
      <c r="D12" s="49">
        <v>8376689.0164647792</v>
      </c>
      <c r="E12" s="49">
        <v>490392.11275371816</v>
      </c>
      <c r="F12" s="49">
        <v>0</v>
      </c>
      <c r="G12" s="49">
        <v>119038.58760318588</v>
      </c>
      <c r="H12" s="49">
        <v>2965489</v>
      </c>
      <c r="I12" s="49">
        <v>4503292</v>
      </c>
      <c r="K12" s="70"/>
      <c r="L12" s="49"/>
      <c r="M12" s="53">
        <f t="shared" si="0"/>
        <v>21723607.759825606</v>
      </c>
      <c r="N12" s="53">
        <f t="shared" si="1"/>
        <v>8867081.1292184964</v>
      </c>
    </row>
    <row r="13" spans="1:16" x14ac:dyDescent="0.25">
      <c r="A13" s="61">
        <f t="shared" si="2"/>
        <v>44200</v>
      </c>
      <c r="C13" s="49">
        <v>23303432.562934119</v>
      </c>
      <c r="D13" s="49">
        <v>8792929.9551486298</v>
      </c>
      <c r="E13" s="49">
        <v>578923.80808094866</v>
      </c>
      <c r="F13" s="49">
        <v>0</v>
      </c>
      <c r="G13" s="49">
        <v>129864.30629625857</v>
      </c>
      <c r="H13" s="49">
        <v>3223279</v>
      </c>
      <c r="I13" s="49">
        <v>4920046</v>
      </c>
      <c r="K13" s="70"/>
      <c r="L13" s="49"/>
      <c r="M13" s="53">
        <f t="shared" si="0"/>
        <v>23303432.562934119</v>
      </c>
      <c r="N13" s="53">
        <f t="shared" si="1"/>
        <v>9371853.7632295787</v>
      </c>
    </row>
    <row r="14" spans="1:16" x14ac:dyDescent="0.25">
      <c r="A14" s="61">
        <f t="shared" si="2"/>
        <v>44231</v>
      </c>
      <c r="C14" s="49">
        <v>19987877.704538807</v>
      </c>
      <c r="D14" s="49">
        <v>7457918.5635445779</v>
      </c>
      <c r="E14" s="49">
        <v>500953.36565363943</v>
      </c>
      <c r="F14" s="49">
        <v>0</v>
      </c>
      <c r="G14" s="49">
        <v>115311.37590683199</v>
      </c>
      <c r="H14" s="49">
        <v>3349770</v>
      </c>
      <c r="I14" s="49">
        <v>4963696</v>
      </c>
      <c r="K14" s="70"/>
      <c r="L14" s="49"/>
      <c r="M14" s="53">
        <f t="shared" si="0"/>
        <v>19987877.704538807</v>
      </c>
      <c r="N14" s="53">
        <f t="shared" si="1"/>
        <v>7958871.9291982176</v>
      </c>
    </row>
    <row r="15" spans="1:16" x14ac:dyDescent="0.25">
      <c r="A15" s="61">
        <f t="shared" si="2"/>
        <v>44262</v>
      </c>
      <c r="C15" s="49">
        <v>15944592.955716632</v>
      </c>
      <c r="D15" s="49">
        <v>6222633.5739002749</v>
      </c>
      <c r="E15" s="49">
        <v>415621.13952758792</v>
      </c>
      <c r="F15" s="49">
        <v>0</v>
      </c>
      <c r="G15" s="49">
        <v>96816.72412309541</v>
      </c>
      <c r="H15" s="49">
        <v>2952606</v>
      </c>
      <c r="I15" s="49">
        <v>4476076</v>
      </c>
      <c r="K15" s="70"/>
      <c r="L15" s="49"/>
      <c r="M15" s="53">
        <f t="shared" si="0"/>
        <v>15944592.955716632</v>
      </c>
      <c r="N15" s="53">
        <f t="shared" si="1"/>
        <v>6638254.7134278631</v>
      </c>
    </row>
    <row r="16" spans="1:16" x14ac:dyDescent="0.25">
      <c r="A16" s="61">
        <f t="shared" si="2"/>
        <v>44293</v>
      </c>
      <c r="C16" s="49">
        <v>10328108.645439891</v>
      </c>
      <c r="D16" s="49">
        <v>4298487.2264371673</v>
      </c>
      <c r="E16" s="49">
        <v>338254.70775024936</v>
      </c>
      <c r="F16" s="49">
        <v>0</v>
      </c>
      <c r="G16" s="49">
        <v>74634.594646532903</v>
      </c>
      <c r="H16" s="49">
        <v>2911500</v>
      </c>
      <c r="I16" s="49">
        <v>4457496</v>
      </c>
      <c r="K16" s="70"/>
      <c r="L16" s="49"/>
      <c r="M16" s="53">
        <f t="shared" si="0"/>
        <v>10328108.645439891</v>
      </c>
      <c r="N16" s="53">
        <f t="shared" si="1"/>
        <v>4636741.9341874169</v>
      </c>
    </row>
    <row r="17" spans="1:14" x14ac:dyDescent="0.25">
      <c r="A17" s="61">
        <f t="shared" si="2"/>
        <v>44324</v>
      </c>
      <c r="C17" s="49">
        <v>4801380.8262135293</v>
      </c>
      <c r="D17" s="49">
        <v>2295747.7488553878</v>
      </c>
      <c r="E17" s="49">
        <v>181872.50340008611</v>
      </c>
      <c r="F17" s="49">
        <v>0</v>
      </c>
      <c r="G17" s="49">
        <v>48079.192292076114</v>
      </c>
      <c r="H17" s="49">
        <v>2504698</v>
      </c>
      <c r="I17" s="49">
        <v>4059627</v>
      </c>
      <c r="K17" s="70"/>
      <c r="L17" s="49"/>
      <c r="M17" s="53">
        <f t="shared" si="0"/>
        <v>4801380.8262135293</v>
      </c>
      <c r="N17" s="53">
        <f t="shared" si="1"/>
        <v>2477620.2522554738</v>
      </c>
    </row>
    <row r="18" spans="1:14" x14ac:dyDescent="0.25">
      <c r="A18" s="61">
        <f t="shared" si="2"/>
        <v>44355</v>
      </c>
      <c r="C18" s="49">
        <v>2836644.6531352093</v>
      </c>
      <c r="D18" s="49">
        <v>1796664.5432832688</v>
      </c>
      <c r="E18" s="49">
        <v>107890.74697412648</v>
      </c>
      <c r="F18" s="49">
        <v>0</v>
      </c>
      <c r="G18" s="49">
        <v>42401.112201966651</v>
      </c>
      <c r="H18" s="49">
        <v>2364563</v>
      </c>
      <c r="I18" s="49">
        <v>3750421</v>
      </c>
      <c r="K18" s="70"/>
      <c r="L18" s="49"/>
      <c r="M18" s="53">
        <f t="shared" si="0"/>
        <v>2836644.6531352093</v>
      </c>
      <c r="N18" s="53">
        <f t="shared" si="1"/>
        <v>1904555.2902573952</v>
      </c>
    </row>
    <row r="19" spans="1:14" x14ac:dyDescent="0.25">
      <c r="A19" s="61">
        <f t="shared" si="2"/>
        <v>44386</v>
      </c>
      <c r="C19" s="49">
        <v>2298199.6239096643</v>
      </c>
      <c r="D19" s="49">
        <v>1797733.5770276845</v>
      </c>
      <c r="E19" s="49">
        <v>87789.319842009907</v>
      </c>
      <c r="F19" s="49">
        <v>0</v>
      </c>
      <c r="G19" s="49">
        <v>48090.767967472362</v>
      </c>
      <c r="H19" s="49">
        <v>2202068</v>
      </c>
      <c r="I19" s="49">
        <v>3610028</v>
      </c>
      <c r="K19" s="70"/>
      <c r="L19" s="49"/>
      <c r="M19" s="53">
        <f t="shared" si="0"/>
        <v>2298199.6239096643</v>
      </c>
      <c r="N19" s="53">
        <f t="shared" si="1"/>
        <v>1885522.8968696943</v>
      </c>
    </row>
    <row r="20" spans="1:14" x14ac:dyDescent="0.25">
      <c r="A20" s="61"/>
      <c r="C20" s="49"/>
      <c r="D20" s="49"/>
      <c r="E20" s="49"/>
      <c r="F20" s="49"/>
      <c r="G20" s="49"/>
      <c r="H20" s="49"/>
      <c r="I20" s="49"/>
      <c r="K20" s="70"/>
      <c r="L20" s="49"/>
      <c r="M20" s="53"/>
      <c r="N20" s="53"/>
    </row>
    <row r="21" spans="1:14" x14ac:dyDescent="0.25">
      <c r="A21" s="61"/>
      <c r="C21" s="49"/>
      <c r="D21" s="49"/>
      <c r="E21" s="49"/>
      <c r="F21" s="49"/>
      <c r="G21" s="49"/>
      <c r="H21" s="49"/>
      <c r="I21" s="49"/>
      <c r="K21" s="70"/>
      <c r="L21" s="49"/>
      <c r="M21" s="53"/>
      <c r="N21" s="53"/>
    </row>
    <row r="22" spans="1:14" x14ac:dyDescent="0.25">
      <c r="A22" s="61"/>
      <c r="C22" s="49"/>
      <c r="D22" s="49"/>
      <c r="E22" s="49"/>
      <c r="F22" s="49"/>
      <c r="G22" s="49"/>
      <c r="H22" s="49"/>
      <c r="I22" s="49"/>
      <c r="K22" s="70"/>
      <c r="L22" s="49"/>
      <c r="M22" s="53"/>
      <c r="N22" s="53"/>
    </row>
    <row r="23" spans="1:14" x14ac:dyDescent="0.25">
      <c r="A23" s="61"/>
      <c r="C23" s="49"/>
      <c r="D23" s="49"/>
      <c r="E23" s="49"/>
      <c r="F23" s="49"/>
      <c r="G23" s="49"/>
      <c r="H23" s="49"/>
      <c r="I23" s="49"/>
      <c r="K23" s="70"/>
      <c r="L23" s="49"/>
      <c r="M23" s="53"/>
      <c r="N23" s="53"/>
    </row>
    <row r="24" spans="1:14" x14ac:dyDescent="0.25">
      <c r="A24" s="61"/>
      <c r="C24" s="49"/>
      <c r="D24" s="49"/>
      <c r="E24" s="49"/>
      <c r="F24" s="49"/>
      <c r="G24" s="49"/>
      <c r="H24" s="49"/>
      <c r="I24" s="49"/>
      <c r="K24" s="70"/>
      <c r="L24" s="49"/>
      <c r="M24" s="53"/>
      <c r="N24" s="53"/>
    </row>
    <row r="25" spans="1:14" x14ac:dyDescent="0.25">
      <c r="A25" s="61"/>
      <c r="C25" s="49"/>
      <c r="D25" s="49"/>
      <c r="E25" s="49"/>
      <c r="F25" s="49"/>
      <c r="G25" s="49"/>
      <c r="H25" s="49"/>
      <c r="I25" s="49"/>
      <c r="K25" s="70"/>
      <c r="L25" s="49"/>
      <c r="M25" s="53"/>
      <c r="N25" s="53"/>
    </row>
    <row r="26" spans="1:14" x14ac:dyDescent="0.25">
      <c r="A26" s="61"/>
      <c r="C26" s="49"/>
      <c r="D26" s="49"/>
      <c r="E26" s="49"/>
      <c r="F26" s="49"/>
      <c r="G26" s="49"/>
      <c r="H26" s="49"/>
      <c r="I26" s="49"/>
      <c r="K26" s="70"/>
      <c r="L26" s="49"/>
      <c r="M26" s="53"/>
      <c r="N26" s="53"/>
    </row>
    <row r="27" spans="1:14" x14ac:dyDescent="0.25">
      <c r="A27" s="61"/>
      <c r="C27" s="49"/>
      <c r="D27" s="49"/>
      <c r="E27" s="49"/>
      <c r="F27" s="49"/>
      <c r="G27" s="49"/>
      <c r="H27" s="49"/>
      <c r="I27" s="49"/>
      <c r="K27" s="70"/>
      <c r="L27" s="49"/>
      <c r="M27" s="53"/>
      <c r="N27" s="53"/>
    </row>
    <row r="28" spans="1:14" x14ac:dyDescent="0.25">
      <c r="A28" s="61"/>
      <c r="C28" s="49"/>
      <c r="D28" s="49"/>
      <c r="E28" s="49"/>
      <c r="F28" s="49"/>
      <c r="G28" s="49"/>
      <c r="H28" s="49"/>
      <c r="I28" s="49"/>
      <c r="K28" s="70"/>
      <c r="L28" s="49"/>
      <c r="M28" s="53"/>
      <c r="N28" s="53"/>
    </row>
    <row r="29" spans="1:14" x14ac:dyDescent="0.25">
      <c r="A29" s="61"/>
      <c r="C29" s="49"/>
      <c r="D29" s="49"/>
      <c r="E29" s="49"/>
      <c r="F29" s="49"/>
      <c r="G29" s="49"/>
      <c r="H29" s="49"/>
      <c r="I29" s="49"/>
      <c r="K29" s="70"/>
      <c r="L29" s="49"/>
      <c r="M29" s="53"/>
      <c r="N29" s="53"/>
    </row>
    <row r="30" spans="1:14" x14ac:dyDescent="0.25">
      <c r="A30" s="61"/>
      <c r="C30" s="49"/>
      <c r="D30" s="49"/>
      <c r="E30" s="49"/>
      <c r="F30" s="49"/>
      <c r="G30" s="49"/>
      <c r="H30" s="49"/>
      <c r="I30" s="49"/>
      <c r="K30" s="70"/>
      <c r="L30" s="49"/>
      <c r="M30" s="53"/>
      <c r="N30" s="53"/>
    </row>
    <row r="31" spans="1:14" x14ac:dyDescent="0.25">
      <c r="A31" s="61"/>
      <c r="C31" s="49"/>
      <c r="D31" s="49"/>
      <c r="E31" s="49"/>
      <c r="F31" s="49"/>
      <c r="G31" s="49"/>
      <c r="H31" s="49"/>
      <c r="I31" s="49"/>
      <c r="K31" s="70"/>
      <c r="L31" s="49"/>
      <c r="M31" s="53"/>
      <c r="N31" s="53"/>
    </row>
    <row r="32" spans="1:14" x14ac:dyDescent="0.25">
      <c r="A32" s="61"/>
      <c r="C32" s="49"/>
      <c r="D32" s="49"/>
      <c r="E32" s="49"/>
      <c r="F32" s="49"/>
      <c r="G32" s="49"/>
      <c r="H32" s="49"/>
      <c r="I32" s="49"/>
      <c r="K32" s="70"/>
      <c r="L32" s="49"/>
      <c r="M32" s="53"/>
      <c r="N32" s="53"/>
    </row>
    <row r="33" spans="1:14" x14ac:dyDescent="0.25">
      <c r="A33" s="61"/>
      <c r="C33" s="49"/>
      <c r="D33" s="49"/>
      <c r="E33" s="49"/>
      <c r="F33" s="49"/>
      <c r="G33" s="49"/>
      <c r="H33" s="49"/>
      <c r="I33" s="49"/>
      <c r="K33" s="70"/>
      <c r="L33" s="49"/>
      <c r="M33" s="53"/>
      <c r="N33" s="53"/>
    </row>
    <row r="34" spans="1:14" x14ac:dyDescent="0.25">
      <c r="A34" s="61"/>
      <c r="C34" s="49"/>
      <c r="D34" s="49"/>
      <c r="E34" s="49"/>
      <c r="F34" s="49"/>
      <c r="G34" s="49"/>
      <c r="H34" s="49"/>
      <c r="I34" s="49"/>
      <c r="K34" s="70"/>
      <c r="L34" s="49"/>
      <c r="M34" s="53"/>
      <c r="N34" s="53"/>
    </row>
    <row r="35" spans="1:14" x14ac:dyDescent="0.25">
      <c r="A35" s="61"/>
      <c r="C35" s="49"/>
      <c r="D35" s="49"/>
      <c r="E35" s="49"/>
      <c r="F35" s="49"/>
      <c r="G35" s="49"/>
      <c r="H35" s="49"/>
      <c r="I35" s="49"/>
      <c r="K35" s="70"/>
      <c r="L35" s="49"/>
      <c r="M35" s="53"/>
      <c r="N35" s="53"/>
    </row>
    <row r="36" spans="1:14" x14ac:dyDescent="0.25">
      <c r="A36" s="61"/>
      <c r="C36" s="49"/>
      <c r="D36" s="49"/>
      <c r="E36" s="49"/>
      <c r="F36" s="49"/>
      <c r="G36" s="49"/>
      <c r="H36" s="49"/>
      <c r="I36" s="49"/>
      <c r="K36" s="70"/>
      <c r="L36" s="49"/>
      <c r="M36" s="53"/>
      <c r="N36" s="53"/>
    </row>
    <row r="37" spans="1:14" x14ac:dyDescent="0.25">
      <c r="A37" s="61"/>
      <c r="C37" s="49"/>
      <c r="D37" s="49"/>
      <c r="E37" s="49"/>
      <c r="F37" s="49"/>
      <c r="G37" s="49"/>
      <c r="H37" s="49"/>
      <c r="I37" s="49"/>
      <c r="K37" s="70"/>
      <c r="L37" s="49"/>
      <c r="M37" s="53"/>
      <c r="N37" s="53"/>
    </row>
    <row r="38" spans="1:14" x14ac:dyDescent="0.25">
      <c r="A38" s="61"/>
      <c r="C38" s="49"/>
      <c r="D38" s="49"/>
      <c r="E38" s="49"/>
      <c r="F38" s="49"/>
      <c r="G38" s="49"/>
      <c r="H38" s="49"/>
      <c r="I38" s="49"/>
      <c r="K38" s="70"/>
      <c r="L38" s="49"/>
      <c r="M38" s="53"/>
      <c r="N38" s="53"/>
    </row>
    <row r="39" spans="1:14" x14ac:dyDescent="0.25">
      <c r="A39" s="61"/>
      <c r="C39" s="49"/>
      <c r="D39" s="49"/>
      <c r="E39" s="49"/>
      <c r="F39" s="49"/>
      <c r="G39" s="49"/>
      <c r="H39" s="49"/>
      <c r="I39" s="49"/>
      <c r="K39" s="70"/>
      <c r="L39" s="49"/>
      <c r="M39" s="53"/>
      <c r="N39" s="53"/>
    </row>
    <row r="40" spans="1:14" x14ac:dyDescent="0.25">
      <c r="A40" s="61"/>
      <c r="C40" s="49"/>
      <c r="D40" s="49"/>
      <c r="E40" s="49"/>
      <c r="F40" s="49"/>
      <c r="G40" s="49"/>
      <c r="H40" s="49"/>
      <c r="I40" s="49"/>
      <c r="K40" s="70"/>
      <c r="L40" s="49"/>
      <c r="M40" s="53"/>
      <c r="N40" s="53"/>
    </row>
    <row r="41" spans="1:14" x14ac:dyDescent="0.25">
      <c r="A41" s="61"/>
      <c r="C41" s="49"/>
      <c r="D41" s="49"/>
      <c r="E41" s="49"/>
      <c r="F41" s="49"/>
      <c r="G41" s="49"/>
      <c r="H41" s="49"/>
      <c r="I41" s="49"/>
      <c r="K41" s="70"/>
      <c r="L41" s="49"/>
      <c r="M41" s="53"/>
      <c r="N41" s="53"/>
    </row>
    <row r="42" spans="1:14" x14ac:dyDescent="0.25">
      <c r="A42" s="61"/>
      <c r="C42" s="49"/>
      <c r="D42" s="49"/>
      <c r="E42" s="49"/>
      <c r="F42" s="49"/>
      <c r="G42" s="49"/>
      <c r="H42" s="49"/>
      <c r="I42" s="49"/>
      <c r="K42" s="70"/>
      <c r="L42" s="49"/>
      <c r="M42" s="53"/>
      <c r="N42" s="53"/>
    </row>
    <row r="43" spans="1:14" x14ac:dyDescent="0.25">
      <c r="A43" s="61"/>
      <c r="C43" s="49"/>
      <c r="D43" s="49"/>
      <c r="E43" s="49"/>
      <c r="F43" s="49"/>
      <c r="G43" s="49"/>
      <c r="H43" s="49"/>
      <c r="I43" s="49"/>
      <c r="K43" s="70"/>
      <c r="L43" s="49"/>
      <c r="M43" s="53"/>
      <c r="N43" s="53"/>
    </row>
    <row r="44" spans="1:14" x14ac:dyDescent="0.25">
      <c r="A44" s="61"/>
      <c r="C44" s="49"/>
      <c r="D44" s="49"/>
      <c r="E44" s="49"/>
      <c r="F44" s="49"/>
      <c r="G44" s="49"/>
      <c r="H44" s="49"/>
      <c r="I44" s="49"/>
      <c r="K44" s="70"/>
      <c r="L44" s="49"/>
      <c r="M44" s="53"/>
      <c r="N44" s="53"/>
    </row>
    <row r="45" spans="1:14" x14ac:dyDescent="0.25">
      <c r="A45" s="61"/>
      <c r="C45" s="49"/>
      <c r="D45" s="49"/>
      <c r="E45" s="49"/>
      <c r="F45" s="49"/>
      <c r="G45" s="49"/>
      <c r="H45" s="49"/>
      <c r="I45" s="49"/>
      <c r="K45" s="70"/>
      <c r="L45" s="49"/>
      <c r="M45" s="53"/>
      <c r="N45" s="53"/>
    </row>
    <row r="46" spans="1:14" x14ac:dyDescent="0.25">
      <c r="A46" s="61"/>
      <c r="C46" s="49"/>
      <c r="D46" s="49"/>
      <c r="E46" s="49"/>
      <c r="F46" s="49"/>
      <c r="G46" s="49"/>
      <c r="H46" s="49"/>
      <c r="I46" s="49"/>
      <c r="K46" s="70"/>
      <c r="L46" s="49"/>
      <c r="M46" s="53"/>
      <c r="N46" s="53"/>
    </row>
    <row r="47" spans="1:14" x14ac:dyDescent="0.25">
      <c r="A47" s="61"/>
      <c r="C47" s="49"/>
      <c r="D47" s="49"/>
      <c r="E47" s="49"/>
      <c r="F47" s="49"/>
      <c r="G47" s="49"/>
      <c r="H47" s="49"/>
      <c r="I47" s="49"/>
      <c r="K47" s="70"/>
      <c r="M47" s="53"/>
      <c r="N47" s="53"/>
    </row>
    <row r="48" spans="1:14" x14ac:dyDescent="0.25">
      <c r="A48" s="61"/>
      <c r="C48" s="49"/>
      <c r="D48" s="49"/>
      <c r="E48" s="49"/>
      <c r="F48" s="49"/>
      <c r="G48" s="49"/>
      <c r="H48" s="49"/>
      <c r="I48" s="49"/>
      <c r="K48" s="70"/>
      <c r="M48" s="53"/>
      <c r="N48" s="53"/>
    </row>
    <row r="49" spans="1:14" x14ac:dyDescent="0.25">
      <c r="A49" s="61"/>
      <c r="C49" s="49"/>
      <c r="D49" s="49"/>
      <c r="E49" s="49"/>
      <c r="F49" s="49"/>
      <c r="G49" s="49"/>
      <c r="H49" s="49"/>
      <c r="I49" s="49"/>
      <c r="K49" s="70"/>
      <c r="M49" s="53"/>
      <c r="N49" s="53"/>
    </row>
    <row r="50" spans="1:14" x14ac:dyDescent="0.25">
      <c r="A50" s="61"/>
      <c r="C50" s="49"/>
      <c r="D50" s="49"/>
      <c r="E50" s="49"/>
      <c r="F50" s="49"/>
      <c r="G50" s="49"/>
      <c r="H50" s="49"/>
      <c r="I50" s="49"/>
      <c r="K50" s="70"/>
      <c r="M50" s="53"/>
      <c r="N50" s="53"/>
    </row>
    <row r="51" spans="1:14" x14ac:dyDescent="0.25">
      <c r="A51" s="61"/>
      <c r="C51" s="49"/>
      <c r="D51" s="49"/>
      <c r="E51" s="49"/>
      <c r="F51" s="49"/>
      <c r="G51" s="49"/>
      <c r="H51" s="49"/>
      <c r="I51" s="49"/>
      <c r="K51" s="70"/>
      <c r="M51" s="53"/>
      <c r="N51" s="53"/>
    </row>
    <row r="52" spans="1:14" x14ac:dyDescent="0.25">
      <c r="A52" s="61"/>
      <c r="C52" s="49"/>
      <c r="D52" s="49"/>
      <c r="E52" s="49"/>
      <c r="F52" s="49"/>
      <c r="G52" s="49"/>
      <c r="H52" s="49"/>
      <c r="I52" s="49"/>
      <c r="K52" s="70"/>
      <c r="M52" s="53"/>
      <c r="N52" s="53"/>
    </row>
    <row r="53" spans="1:14" x14ac:dyDescent="0.25">
      <c r="A53" s="61"/>
      <c r="C53" s="49"/>
      <c r="D53" s="49"/>
      <c r="E53" s="49"/>
      <c r="F53" s="49"/>
      <c r="G53" s="49"/>
      <c r="H53" s="49"/>
      <c r="I53" s="49"/>
      <c r="K53" s="70"/>
      <c r="M53" s="53"/>
      <c r="N53" s="53"/>
    </row>
    <row r="54" spans="1:14" x14ac:dyDescent="0.25">
      <c r="A54" s="61"/>
      <c r="C54" s="49"/>
      <c r="D54" s="49"/>
      <c r="E54" s="49"/>
      <c r="F54" s="49"/>
      <c r="G54" s="49"/>
      <c r="H54" s="49"/>
      <c r="I54" s="49"/>
      <c r="K54" s="70"/>
      <c r="M54" s="53"/>
      <c r="N54" s="53"/>
    </row>
    <row r="55" spans="1:14" x14ac:dyDescent="0.25">
      <c r="A55" s="61"/>
      <c r="C55" s="49"/>
      <c r="D55" s="49"/>
      <c r="E55" s="49"/>
      <c r="F55" s="49"/>
      <c r="G55" s="49"/>
      <c r="H55" s="49"/>
      <c r="I55" s="49"/>
      <c r="K55" s="70"/>
      <c r="M55" s="53"/>
      <c r="N55" s="53"/>
    </row>
    <row r="56" spans="1:14" x14ac:dyDescent="0.25">
      <c r="A56" s="61"/>
      <c r="C56" s="49"/>
      <c r="D56" s="49"/>
      <c r="E56" s="49"/>
      <c r="F56" s="49"/>
      <c r="G56" s="49"/>
      <c r="H56" s="49"/>
      <c r="I56" s="49"/>
      <c r="K56" s="70"/>
      <c r="M56" s="53"/>
      <c r="N56" s="53"/>
    </row>
    <row r="57" spans="1:14" x14ac:dyDescent="0.25">
      <c r="A57" s="61"/>
      <c r="C57" s="49"/>
      <c r="D57" s="49"/>
      <c r="E57" s="49"/>
      <c r="F57" s="49"/>
      <c r="G57" s="49"/>
      <c r="H57" s="49"/>
      <c r="I57" s="49"/>
      <c r="K57" s="70"/>
      <c r="M57" s="53"/>
      <c r="N57" s="53"/>
    </row>
    <row r="58" spans="1:14" x14ac:dyDescent="0.25">
      <c r="A58" s="61"/>
      <c r="C58" s="49"/>
      <c r="D58" s="49"/>
      <c r="E58" s="49"/>
      <c r="F58" s="49"/>
      <c r="G58" s="49"/>
      <c r="H58" s="49"/>
      <c r="I58" s="49"/>
      <c r="K58" s="70"/>
      <c r="M58" s="53"/>
      <c r="N58" s="53"/>
    </row>
    <row r="59" spans="1:14" x14ac:dyDescent="0.25">
      <c r="A59" s="61"/>
      <c r="C59" s="49"/>
      <c r="D59" s="49"/>
      <c r="E59" s="49"/>
      <c r="F59" s="49"/>
      <c r="G59" s="49"/>
      <c r="H59" s="49"/>
      <c r="I59" s="49"/>
      <c r="K59" s="70"/>
      <c r="M59" s="53"/>
      <c r="N59" s="53"/>
    </row>
    <row r="60" spans="1:14" x14ac:dyDescent="0.25">
      <c r="A60" s="61"/>
      <c r="C60" s="49"/>
      <c r="D60" s="49"/>
      <c r="E60" s="49"/>
      <c r="F60" s="49"/>
      <c r="G60" s="49"/>
      <c r="H60" s="49"/>
      <c r="I60" s="49"/>
      <c r="K60" s="70"/>
      <c r="M60" s="53"/>
      <c r="N60" s="53"/>
    </row>
    <row r="61" spans="1:14" x14ac:dyDescent="0.25">
      <c r="A61" s="61"/>
      <c r="C61" s="49"/>
      <c r="D61" s="49"/>
      <c r="E61" s="49"/>
      <c r="F61" s="49"/>
      <c r="G61" s="49"/>
      <c r="H61" s="49"/>
      <c r="I61" s="49"/>
      <c r="K61" s="70"/>
      <c r="M61" s="53"/>
      <c r="N61" s="53"/>
    </row>
    <row r="62" spans="1:14" x14ac:dyDescent="0.25">
      <c r="A62" s="61"/>
      <c r="C62" s="49"/>
      <c r="D62" s="49"/>
      <c r="E62" s="49"/>
      <c r="F62" s="49"/>
      <c r="G62" s="49"/>
      <c r="H62" s="49"/>
      <c r="I62" s="49"/>
      <c r="K62" s="70"/>
      <c r="M62" s="53"/>
      <c r="N62" s="53"/>
    </row>
    <row r="63" spans="1:14" x14ac:dyDescent="0.25">
      <c r="A63" s="61"/>
      <c r="C63" s="49"/>
      <c r="D63" s="49"/>
      <c r="E63" s="49"/>
      <c r="F63" s="49"/>
      <c r="G63" s="49"/>
      <c r="H63" s="49"/>
      <c r="I63" s="49"/>
      <c r="K63" s="70"/>
      <c r="M63" s="53"/>
      <c r="N63" s="53"/>
    </row>
    <row r="64" spans="1:14" x14ac:dyDescent="0.25">
      <c r="A64" s="61"/>
      <c r="C64" s="49"/>
      <c r="D64" s="49"/>
      <c r="E64" s="49"/>
      <c r="F64" s="49"/>
      <c r="G64" s="49"/>
      <c r="H64" s="49"/>
      <c r="I64" s="49"/>
      <c r="K64" s="70"/>
      <c r="M64" s="53"/>
      <c r="N64" s="53"/>
    </row>
    <row r="65" spans="1:14" x14ac:dyDescent="0.25">
      <c r="A65" s="61"/>
      <c r="C65" s="49"/>
      <c r="D65" s="49"/>
      <c r="E65" s="49"/>
      <c r="F65" s="49"/>
      <c r="G65" s="49"/>
      <c r="H65" s="49"/>
      <c r="I65" s="49"/>
      <c r="K65" s="70"/>
      <c r="M65" s="53"/>
      <c r="N65" s="53"/>
    </row>
    <row r="66" spans="1:14" x14ac:dyDescent="0.25">
      <c r="A66" s="61"/>
      <c r="C66" s="49"/>
      <c r="D66" s="49"/>
      <c r="E66" s="49"/>
      <c r="F66" s="49"/>
      <c r="G66" s="49"/>
      <c r="H66" s="49"/>
      <c r="I66" s="49"/>
      <c r="K66" s="70"/>
      <c r="M66" s="53"/>
      <c r="N66" s="53"/>
    </row>
    <row r="67" spans="1:14" x14ac:dyDescent="0.25">
      <c r="A67" s="61"/>
      <c r="C67" s="49"/>
      <c r="D67" s="49"/>
      <c r="E67" s="49"/>
      <c r="F67" s="49"/>
      <c r="G67" s="49"/>
      <c r="H67" s="49"/>
      <c r="I67" s="49"/>
      <c r="K67" s="70"/>
      <c r="M67" s="53"/>
      <c r="N67" s="53"/>
    </row>
    <row r="68" spans="1:14" x14ac:dyDescent="0.25">
      <c r="A68" s="61"/>
      <c r="C68" s="49"/>
      <c r="D68" s="49"/>
      <c r="E68" s="49"/>
      <c r="F68" s="49"/>
      <c r="G68" s="49"/>
      <c r="H68" s="49"/>
      <c r="I68" s="49"/>
      <c r="K68" s="70"/>
      <c r="M68" s="53"/>
      <c r="N68" s="53"/>
    </row>
    <row r="69" spans="1:14" x14ac:dyDescent="0.25">
      <c r="A69" s="61"/>
      <c r="C69" s="49"/>
      <c r="D69" s="49"/>
      <c r="E69" s="49"/>
      <c r="F69" s="49"/>
      <c r="G69" s="49"/>
      <c r="H69" s="49"/>
      <c r="I69" s="49"/>
      <c r="K69" s="70"/>
      <c r="M69" s="53"/>
      <c r="N69" s="53"/>
    </row>
    <row r="70" spans="1:14" x14ac:dyDescent="0.25">
      <c r="A70" s="61"/>
      <c r="C70" s="49"/>
      <c r="D70" s="49"/>
      <c r="E70" s="49"/>
      <c r="F70" s="49"/>
      <c r="G70" s="49"/>
      <c r="H70" s="49"/>
      <c r="I70" s="49"/>
      <c r="K70" s="70"/>
      <c r="M70" s="53"/>
      <c r="N70" s="53"/>
    </row>
  </sheetData>
  <mergeCells count="3">
    <mergeCell ref="A1:A2"/>
    <mergeCell ref="K3:K4"/>
    <mergeCell ref="M3:N3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O80"/>
  <sheetViews>
    <sheetView tabSelected="1" topLeftCell="A49" zoomScaleNormal="100" workbookViewId="0">
      <selection activeCell="C83" sqref="C83"/>
    </sheetView>
  </sheetViews>
  <sheetFormatPr defaultRowHeight="15" x14ac:dyDescent="0.25"/>
  <cols>
    <col min="1" max="1" width="5.28515625" customWidth="1"/>
    <col min="2" max="2" width="31.7109375" customWidth="1"/>
    <col min="3" max="3" width="15" customWidth="1"/>
    <col min="4" max="4" width="14.28515625" customWidth="1"/>
    <col min="5" max="5" width="19.85546875" customWidth="1"/>
    <col min="6" max="6" width="8.140625" customWidth="1"/>
    <col min="7" max="7" width="5.28515625" customWidth="1"/>
    <col min="8" max="8" width="31.7109375" customWidth="1"/>
    <col min="9" max="9" width="14" customWidth="1"/>
    <col min="10" max="10" width="15.28515625" customWidth="1"/>
    <col min="11" max="11" width="19.140625" customWidth="1"/>
    <col min="12" max="12" width="8.28515625" customWidth="1"/>
    <col min="13" max="13" width="12.5703125" bestFit="1" customWidth="1"/>
    <col min="14" max="14" width="11.140625" bestFit="1" customWidth="1"/>
    <col min="15" max="15" width="10" customWidth="1"/>
  </cols>
  <sheetData>
    <row r="1" spans="1:15" x14ac:dyDescent="0.25">
      <c r="B1" s="188" t="s">
        <v>0</v>
      </c>
      <c r="C1" s="188"/>
      <c r="D1" s="188"/>
      <c r="E1" s="188"/>
      <c r="F1" s="145"/>
      <c r="G1" s="73"/>
      <c r="H1" s="188" t="s">
        <v>0</v>
      </c>
      <c r="I1" s="188"/>
      <c r="J1" s="188"/>
      <c r="K1" s="188"/>
    </row>
    <row r="2" spans="1:15" x14ac:dyDescent="0.25">
      <c r="B2" s="188" t="s">
        <v>1</v>
      </c>
      <c r="C2" s="188"/>
      <c r="D2" s="188"/>
      <c r="E2" s="188"/>
      <c r="F2" s="145"/>
      <c r="G2" s="73"/>
      <c r="H2" s="188" t="s">
        <v>1</v>
      </c>
      <c r="I2" s="188"/>
      <c r="J2" s="188"/>
      <c r="K2" s="188"/>
    </row>
    <row r="3" spans="1:15" x14ac:dyDescent="0.25">
      <c r="B3" s="188" t="s">
        <v>171</v>
      </c>
      <c r="C3" s="188"/>
      <c r="D3" s="188"/>
      <c r="E3" s="188"/>
      <c r="F3" s="145"/>
      <c r="G3" s="73"/>
      <c r="H3" s="188" t="str">
        <f>B3</f>
        <v>Effective August 1, 2020 - July 31, 2021</v>
      </c>
      <c r="I3" s="188"/>
      <c r="J3" s="188"/>
      <c r="K3" s="188"/>
    </row>
    <row r="4" spans="1:15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5" ht="18.75" x14ac:dyDescent="0.3">
      <c r="B5" s="187" t="s">
        <v>4</v>
      </c>
      <c r="C5" s="187"/>
      <c r="D5" s="187"/>
      <c r="E5" s="187"/>
      <c r="F5" s="36"/>
      <c r="G5" s="30"/>
      <c r="H5" s="187" t="s">
        <v>14</v>
      </c>
      <c r="I5" s="187"/>
      <c r="J5" s="187"/>
      <c r="K5" s="187"/>
    </row>
    <row r="6" spans="1:15" ht="30" customHeight="1" x14ac:dyDescent="0.25">
      <c r="A6" s="78" t="s">
        <v>94</v>
      </c>
      <c r="B6" s="27" t="s">
        <v>2</v>
      </c>
      <c r="C6" s="27" t="s">
        <v>6</v>
      </c>
      <c r="D6" s="27" t="s">
        <v>7</v>
      </c>
      <c r="E6" s="27" t="s">
        <v>107</v>
      </c>
      <c r="F6" s="27"/>
      <c r="G6" s="78" t="s">
        <v>94</v>
      </c>
      <c r="H6" s="27" t="s">
        <v>2</v>
      </c>
      <c r="I6" s="27" t="s">
        <v>6</v>
      </c>
      <c r="J6" s="27" t="s">
        <v>7</v>
      </c>
      <c r="K6" s="68" t="s">
        <v>107</v>
      </c>
    </row>
    <row r="7" spans="1:15" x14ac:dyDescent="0.25">
      <c r="A7" s="80">
        <v>1</v>
      </c>
      <c r="B7" s="27"/>
      <c r="C7" s="27">
        <f>ROUND(C8/E22,5)</f>
        <v>-6.4000000000000003E-3</v>
      </c>
      <c r="D7" s="28">
        <f>F57</f>
        <v>4.7500000000000001E-2</v>
      </c>
      <c r="E7" s="27"/>
      <c r="F7" s="27"/>
      <c r="G7" s="80">
        <v>1</v>
      </c>
      <c r="H7" s="27"/>
      <c r="I7" s="27">
        <f>ROUND(I8/K22,5)</f>
        <v>3.9199999999999999E-3</v>
      </c>
      <c r="J7" s="28">
        <f>D7</f>
        <v>4.7500000000000001E-2</v>
      </c>
      <c r="K7" s="27"/>
      <c r="O7" s="60"/>
    </row>
    <row r="8" spans="1:15" x14ac:dyDescent="0.25">
      <c r="A8" s="80">
        <v>2</v>
      </c>
      <c r="B8" s="54">
        <v>44013</v>
      </c>
      <c r="C8" s="29">
        <f>C55+C56</f>
        <v>-837045.93932653463</v>
      </c>
      <c r="D8" s="29"/>
      <c r="E8" s="30"/>
      <c r="F8" s="30"/>
      <c r="G8" s="80">
        <v>2</v>
      </c>
      <c r="H8" s="54">
        <f>B8</f>
        <v>44013</v>
      </c>
      <c r="I8" s="29">
        <f>I55+I56</f>
        <v>236953.60157675884</v>
      </c>
      <c r="J8" s="29"/>
      <c r="K8" s="30"/>
    </row>
    <row r="9" spans="1:15" x14ac:dyDescent="0.25">
      <c r="A9" s="80">
        <v>3</v>
      </c>
      <c r="B9" s="54">
        <f>B8+31</f>
        <v>44044</v>
      </c>
      <c r="C9" s="82">
        <f>C8+D9-$C$7*E9</f>
        <v>-827202.28694614139</v>
      </c>
      <c r="D9" s="82">
        <f>(C8-$C$7*E9/2)*($D$7/12)</f>
        <v>-3287.31846337258</v>
      </c>
      <c r="E9" s="33">
        <f>'3 11 20 Forecast Usage by Sched'!M8</f>
        <v>2051714.1943384032</v>
      </c>
      <c r="F9" s="33"/>
      <c r="G9" s="80">
        <v>3</v>
      </c>
      <c r="H9" s="54">
        <f t="shared" ref="H9:H20" si="0">B9</f>
        <v>44044</v>
      </c>
      <c r="I9" s="86">
        <f>I8+J9-K9*$I$7</f>
        <v>229666.80912346809</v>
      </c>
      <c r="J9" s="86">
        <f>(I8-$I$7*K9/2)*$J$7/12</f>
        <v>921.69537408299311</v>
      </c>
      <c r="K9" s="33">
        <f>'3 11 20 Forecast Usage by Sched'!N8</f>
        <v>2094001.9967790213</v>
      </c>
      <c r="M9" s="49"/>
      <c r="N9" s="49"/>
      <c r="O9" s="49"/>
    </row>
    <row r="10" spans="1:15" x14ac:dyDescent="0.25">
      <c r="A10" s="80">
        <v>4</v>
      </c>
      <c r="B10" s="54">
        <f t="shared" ref="B10:B20" si="1">B9+31</f>
        <v>44075</v>
      </c>
      <c r="C10" s="82">
        <f t="shared" ref="C10:C20" si="2">C9+D10-$C$7*E10</f>
        <v>-810095.06157968659</v>
      </c>
      <c r="D10" s="82">
        <f t="shared" ref="D10:D20" si="3">(C9-$C$7*E10/2)*($D$7/12)</f>
        <v>-3234.0835452740134</v>
      </c>
      <c r="E10" s="33">
        <f>'3 11 20 Forecast Usage by Sched'!M9</f>
        <v>3178329.5174576221</v>
      </c>
      <c r="F10" s="33"/>
      <c r="G10" s="80">
        <v>4</v>
      </c>
      <c r="H10" s="54">
        <f t="shared" si="0"/>
        <v>44075</v>
      </c>
      <c r="I10" s="86">
        <f t="shared" ref="I10:I20" si="4">I9+J10-K10*$I$7</f>
        <v>221216.28801761047</v>
      </c>
      <c r="J10" s="86">
        <f t="shared" ref="J10:J20" si="5">(I9-$I$7*K10/2)*$J$7/12</f>
        <v>890.61013054168768</v>
      </c>
      <c r="K10" s="33">
        <f>'3 11 20 Forecast Usage by Sched'!N9</f>
        <v>2382941.6419385998</v>
      </c>
      <c r="M10" s="49"/>
      <c r="N10" s="49"/>
      <c r="O10" s="49"/>
    </row>
    <row r="11" spans="1:15" x14ac:dyDescent="0.25">
      <c r="A11" s="80">
        <v>5</v>
      </c>
      <c r="B11" s="54">
        <f t="shared" si="1"/>
        <v>44106</v>
      </c>
      <c r="C11" s="82">
        <f t="shared" si="2"/>
        <v>-757506.6575334277</v>
      </c>
      <c r="D11" s="82">
        <f t="shared" si="3"/>
        <v>-3096.4167442716684</v>
      </c>
      <c r="E11" s="33">
        <f>'3 11 20 Forecast Usage by Sched'!M10</f>
        <v>8700753.2485203929</v>
      </c>
      <c r="F11" s="33"/>
      <c r="G11" s="80">
        <v>5</v>
      </c>
      <c r="H11" s="54">
        <f t="shared" si="0"/>
        <v>44106</v>
      </c>
      <c r="I11" s="86">
        <f t="shared" si="4"/>
        <v>201908.49361514457</v>
      </c>
      <c r="J11" s="86">
        <f t="shared" si="5"/>
        <v>835.78031510784331</v>
      </c>
      <c r="K11" s="33">
        <f>'3 11 20 Forecast Usage by Sched'!N10</f>
        <v>5138667.019789218</v>
      </c>
      <c r="M11" s="49"/>
      <c r="N11" s="49"/>
      <c r="O11" s="49"/>
    </row>
    <row r="12" spans="1:15" x14ac:dyDescent="0.25">
      <c r="A12" s="80">
        <v>6</v>
      </c>
      <c r="B12" s="54">
        <f t="shared" si="1"/>
        <v>44137</v>
      </c>
      <c r="C12" s="82">
        <f t="shared" si="2"/>
        <v>-659710.88335795701</v>
      </c>
      <c r="D12" s="82">
        <f t="shared" si="3"/>
        <v>-2799.369297945349</v>
      </c>
      <c r="E12" s="33">
        <f>'3 11 20 Forecast Usage by Sched'!M11</f>
        <v>15717991.167721258</v>
      </c>
      <c r="F12" s="33"/>
      <c r="G12" s="80">
        <v>6</v>
      </c>
      <c r="H12" s="54">
        <f t="shared" si="0"/>
        <v>44137</v>
      </c>
      <c r="I12" s="86">
        <f t="shared" si="4"/>
        <v>174663.23514193555</v>
      </c>
      <c r="J12" s="86">
        <f t="shared" si="5"/>
        <v>743.82605742639805</v>
      </c>
      <c r="K12" s="33">
        <f>'3 11 20 Forecast Usage by Sched'!N11</f>
        <v>7140072.5843457673</v>
      </c>
      <c r="M12" s="49"/>
      <c r="N12" s="49"/>
      <c r="O12" s="49"/>
    </row>
    <row r="13" spans="1:15" x14ac:dyDescent="0.25">
      <c r="A13" s="80">
        <v>7</v>
      </c>
      <c r="B13" s="54">
        <f t="shared" si="1"/>
        <v>44168</v>
      </c>
      <c r="C13" s="82">
        <f t="shared" si="2"/>
        <v>-523015.9835767406</v>
      </c>
      <c r="D13" s="82">
        <f t="shared" si="3"/>
        <v>-2336.1898816674557</v>
      </c>
      <c r="E13" s="33">
        <f>'3 11 20 Forecast Usage by Sched'!M12</f>
        <v>21723607.759825606</v>
      </c>
      <c r="F13" s="33"/>
      <c r="G13" s="80">
        <v>7</v>
      </c>
      <c r="H13" s="54">
        <f t="shared" si="0"/>
        <v>44168</v>
      </c>
      <c r="I13" s="86">
        <f t="shared" si="4"/>
        <v>140526.85865007501</v>
      </c>
      <c r="J13" s="86">
        <f t="shared" si="5"/>
        <v>622.58153467597469</v>
      </c>
      <c r="K13" s="33">
        <f>'3 11 20 Forecast Usage by Sched'!N12</f>
        <v>8867081.1292184964</v>
      </c>
      <c r="M13" s="49"/>
      <c r="N13" s="49"/>
      <c r="O13" s="49"/>
    </row>
    <row r="14" spans="1:15" x14ac:dyDescent="0.25">
      <c r="A14" s="80">
        <v>8</v>
      </c>
      <c r="B14" s="54">
        <f t="shared" si="1"/>
        <v>44199</v>
      </c>
      <c r="C14" s="82">
        <f t="shared" si="2"/>
        <v>-375649.10996315628</v>
      </c>
      <c r="D14" s="82">
        <f t="shared" si="3"/>
        <v>-1775.0947891940996</v>
      </c>
      <c r="E14" s="33">
        <f>'3 11 20 Forecast Usage by Sched'!M13</f>
        <v>23303432.562934119</v>
      </c>
      <c r="F14" s="33"/>
      <c r="G14" s="80">
        <v>8</v>
      </c>
      <c r="H14" s="54">
        <f t="shared" si="0"/>
        <v>44199</v>
      </c>
      <c r="I14" s="86">
        <f t="shared" si="4"/>
        <v>104272.73408159189</v>
      </c>
      <c r="J14" s="86">
        <f t="shared" si="5"/>
        <v>483.54218337682414</v>
      </c>
      <c r="K14" s="33">
        <f>'3 11 20 Forecast Usage by Sched'!N13</f>
        <v>9371853.7632295787</v>
      </c>
      <c r="M14" s="49"/>
      <c r="N14" s="49"/>
      <c r="O14" s="49"/>
    </row>
    <row r="15" spans="1:15" x14ac:dyDescent="0.25">
      <c r="A15" s="80">
        <v>9</v>
      </c>
      <c r="B15" s="54">
        <f t="shared" si="1"/>
        <v>44230</v>
      </c>
      <c r="C15" s="82">
        <f t="shared" si="2"/>
        <v>-248960.45726345462</v>
      </c>
      <c r="D15" s="82">
        <f t="shared" si="3"/>
        <v>-1233.7646093466687</v>
      </c>
      <c r="E15" s="33">
        <f>'3 11 20 Forecast Usage by Sched'!M14</f>
        <v>19987877.704538807</v>
      </c>
      <c r="F15" s="33"/>
      <c r="G15" s="80">
        <v>9</v>
      </c>
      <c r="H15" s="54">
        <f t="shared" si="0"/>
        <v>44230</v>
      </c>
      <c r="I15" s="86">
        <f t="shared" si="4"/>
        <v>73424.954776823812</v>
      </c>
      <c r="J15" s="86">
        <f t="shared" si="5"/>
        <v>350.99865768893841</v>
      </c>
      <c r="K15" s="33">
        <f>'3 11 20 Forecast Usage by Sched'!N14</f>
        <v>7958871.9291982176</v>
      </c>
      <c r="M15" s="49"/>
      <c r="N15" s="49"/>
      <c r="O15" s="49"/>
    </row>
    <row r="16" spans="1:15" x14ac:dyDescent="0.25">
      <c r="A16" s="80">
        <v>10</v>
      </c>
      <c r="B16" s="54">
        <f t="shared" si="1"/>
        <v>44261</v>
      </c>
      <c r="C16" s="82">
        <f t="shared" si="2"/>
        <v>-147698.56597943028</v>
      </c>
      <c r="D16" s="82">
        <f t="shared" si="3"/>
        <v>-783.50363256209721</v>
      </c>
      <c r="E16" s="33">
        <f>'3 11 20 Forecast Usage by Sched'!M15</f>
        <v>15944592.955716632</v>
      </c>
      <c r="F16" s="33"/>
      <c r="G16" s="80">
        <v>10</v>
      </c>
      <c r="H16" s="54">
        <f t="shared" si="0"/>
        <v>44261</v>
      </c>
      <c r="I16" s="86">
        <f t="shared" si="4"/>
        <v>47642.134953359848</v>
      </c>
      <c r="J16" s="86">
        <f t="shared" si="5"/>
        <v>239.13865317324974</v>
      </c>
      <c r="K16" s="33">
        <f>'3 11 20 Forecast Usage by Sched'!N15</f>
        <v>6638254.7134278631</v>
      </c>
      <c r="M16" s="49"/>
      <c r="N16" s="49"/>
      <c r="O16" s="49"/>
    </row>
    <row r="17" spans="1:15" x14ac:dyDescent="0.25">
      <c r="A17" s="80">
        <v>11</v>
      </c>
      <c r="B17" s="54">
        <f t="shared" si="1"/>
        <v>44292</v>
      </c>
      <c r="C17" s="82">
        <f t="shared" si="2"/>
        <v>-82052.488096107976</v>
      </c>
      <c r="D17" s="82">
        <f t="shared" si="3"/>
        <v>-453.81744749300628</v>
      </c>
      <c r="E17" s="33">
        <f>'3 11 20 Forecast Usage by Sched'!M16</f>
        <v>10328108.645439891</v>
      </c>
      <c r="F17" s="33"/>
      <c r="G17" s="80">
        <v>11</v>
      </c>
      <c r="H17" s="54">
        <f t="shared" si="0"/>
        <v>44292</v>
      </c>
      <c r="I17" s="86">
        <f t="shared" si="4"/>
        <v>29618.716632696152</v>
      </c>
      <c r="J17" s="86">
        <f t="shared" si="5"/>
        <v>152.6100613509787</v>
      </c>
      <c r="K17" s="33">
        <f>'3 11 20 Forecast Usage by Sched'!N16</f>
        <v>4636741.9341874169</v>
      </c>
      <c r="M17" s="49"/>
      <c r="N17" s="49"/>
      <c r="O17" s="49"/>
    </row>
    <row r="18" spans="1:15" x14ac:dyDescent="0.25">
      <c r="A18" s="80">
        <v>12</v>
      </c>
      <c r="B18" s="54">
        <f t="shared" si="1"/>
        <v>44323</v>
      </c>
      <c r="C18" s="82">
        <f t="shared" si="2"/>
        <v>-51587.624416589773</v>
      </c>
      <c r="D18" s="82">
        <f t="shared" si="3"/>
        <v>-263.97360824838938</v>
      </c>
      <c r="E18" s="33">
        <f>'3 11 20 Forecast Usage by Sched'!M17</f>
        <v>4801380.8262135293</v>
      </c>
      <c r="F18" s="33"/>
      <c r="G18" s="80">
        <v>12</v>
      </c>
      <c r="H18" s="54">
        <f t="shared" si="0"/>
        <v>44323</v>
      </c>
      <c r="I18" s="86">
        <f t="shared" si="4"/>
        <v>20004.463793402036</v>
      </c>
      <c r="J18" s="86">
        <f t="shared" si="5"/>
        <v>98.018549547340214</v>
      </c>
      <c r="K18" s="33">
        <f>'3 11 20 Forecast Usage by Sched'!N17</f>
        <v>2477620.2522554738</v>
      </c>
      <c r="M18" s="49"/>
      <c r="N18" s="49"/>
      <c r="O18" s="49"/>
    </row>
    <row r="19" spans="1:15" x14ac:dyDescent="0.25">
      <c r="A19" s="80">
        <v>13</v>
      </c>
      <c r="B19" s="54">
        <f t="shared" si="1"/>
        <v>44354</v>
      </c>
      <c r="C19" s="82">
        <f t="shared" si="2"/>
        <v>-33601.368817567054</v>
      </c>
      <c r="D19" s="82">
        <f t="shared" si="3"/>
        <v>-168.27018104262186</v>
      </c>
      <c r="E19" s="33">
        <f>'3 11 20 Forecast Usage by Sched'!M18</f>
        <v>2836644.6531352093</v>
      </c>
      <c r="F19" s="33"/>
      <c r="G19" s="80">
        <v>13</v>
      </c>
      <c r="H19" s="54">
        <f t="shared" si="0"/>
        <v>44354</v>
      </c>
      <c r="I19" s="86">
        <f t="shared" si="4"/>
        <v>12603.015216648349</v>
      </c>
      <c r="J19" s="86">
        <f t="shared" si="5"/>
        <v>64.40816105530277</v>
      </c>
      <c r="K19" s="33">
        <f>'3 11 20 Forecast Usage by Sched'!N18</f>
        <v>1904555.2902573952</v>
      </c>
      <c r="M19" s="49"/>
      <c r="N19" s="49"/>
      <c r="O19" s="49"/>
    </row>
    <row r="20" spans="1:15" x14ac:dyDescent="0.25">
      <c r="A20" s="80">
        <v>14</v>
      </c>
      <c r="B20" s="54">
        <f t="shared" si="1"/>
        <v>44385</v>
      </c>
      <c r="C20" s="82">
        <f t="shared" si="2"/>
        <v>-18996.786114211878</v>
      </c>
      <c r="D20" s="82">
        <f t="shared" si="3"/>
        <v>-103.89488966668051</v>
      </c>
      <c r="E20" s="33">
        <f>'3 11 20 Forecast Usage by Sched'!M19</f>
        <v>2298199.6239096643</v>
      </c>
      <c r="F20" s="33"/>
      <c r="G20" s="80">
        <v>14</v>
      </c>
      <c r="H20" s="54">
        <f t="shared" si="0"/>
        <v>44385</v>
      </c>
      <c r="I20" s="86">
        <f t="shared" si="4"/>
        <v>5247.0238810101664</v>
      </c>
      <c r="J20" s="86">
        <f t="shared" si="5"/>
        <v>35.258420091019005</v>
      </c>
      <c r="K20" s="33">
        <f>'3 11 20 Forecast Usage by Sched'!N19</f>
        <v>1885522.8968696943</v>
      </c>
      <c r="M20" s="49"/>
      <c r="N20" s="49"/>
      <c r="O20" s="49"/>
    </row>
    <row r="21" spans="1:15" x14ac:dyDescent="0.25">
      <c r="B21" s="30"/>
      <c r="C21" s="30"/>
      <c r="D21" s="30"/>
      <c r="E21" s="30"/>
      <c r="F21" s="30"/>
      <c r="H21" s="30"/>
      <c r="I21" s="30"/>
      <c r="J21" s="30"/>
      <c r="K21" s="30"/>
    </row>
    <row r="22" spans="1:15" x14ac:dyDescent="0.25">
      <c r="A22" s="80">
        <v>15</v>
      </c>
      <c r="B22" s="30" t="s">
        <v>5</v>
      </c>
      <c r="C22" s="30"/>
      <c r="D22" s="29">
        <f>SUM(D9:D21)</f>
        <v>-19535.697090084628</v>
      </c>
      <c r="E22" s="37">
        <f>SUM(E9:E21)</f>
        <v>130872632.85975114</v>
      </c>
      <c r="F22" s="37"/>
      <c r="G22" s="80">
        <v>15</v>
      </c>
      <c r="H22" s="30" t="s">
        <v>5</v>
      </c>
      <c r="I22" s="30"/>
      <c r="J22" s="29">
        <f>SUM(J9:J21)</f>
        <v>5438.4680981185502</v>
      </c>
      <c r="K22" s="37">
        <f>SUM(K9:K21)</f>
        <v>60496185.151496753</v>
      </c>
    </row>
    <row r="23" spans="1:15" ht="10.15" customHeight="1" x14ac:dyDescent="0.25">
      <c r="B23" s="30"/>
      <c r="C23" s="30"/>
      <c r="D23" s="29"/>
      <c r="E23" s="37"/>
      <c r="F23" s="37"/>
      <c r="H23" s="30"/>
      <c r="I23" s="30"/>
      <c r="J23" s="29"/>
      <c r="K23" s="37"/>
    </row>
    <row r="24" spans="1:15" ht="27" customHeight="1" x14ac:dyDescent="0.25">
      <c r="A24" s="80">
        <v>16</v>
      </c>
      <c r="B24" s="185" t="s">
        <v>9</v>
      </c>
      <c r="C24" s="185"/>
      <c r="D24" s="31">
        <f>ROUND(D22/E22,5)</f>
        <v>-1.4999999999999999E-4</v>
      </c>
      <c r="E24" s="37"/>
      <c r="F24" s="37"/>
      <c r="G24" s="80">
        <v>16</v>
      </c>
      <c r="H24" s="185" t="s">
        <v>9</v>
      </c>
      <c r="I24" s="185"/>
      <c r="J24" s="31">
        <f>ROUND(J22/K22,5)</f>
        <v>9.0000000000000006E-5</v>
      </c>
      <c r="K24" s="37"/>
    </row>
    <row r="25" spans="1:15" ht="28.15" customHeight="1" x14ac:dyDescent="0.25">
      <c r="A25" s="80">
        <v>17</v>
      </c>
      <c r="B25" s="185" t="s">
        <v>10</v>
      </c>
      <c r="C25" s="185"/>
      <c r="D25" s="31">
        <f>C7</f>
        <v>-6.4000000000000003E-3</v>
      </c>
      <c r="E25" s="37"/>
      <c r="F25" s="37"/>
      <c r="G25" s="80">
        <v>17</v>
      </c>
      <c r="H25" s="185" t="s">
        <v>10</v>
      </c>
      <c r="I25" s="185"/>
      <c r="J25" s="31">
        <f>I7</f>
        <v>3.9199999999999999E-3</v>
      </c>
      <c r="K25" s="37"/>
    </row>
    <row r="26" spans="1:15" ht="28.9" customHeight="1" x14ac:dyDescent="0.25">
      <c r="A26" s="80">
        <v>18</v>
      </c>
      <c r="B26" s="185" t="s">
        <v>11</v>
      </c>
      <c r="C26" s="185"/>
      <c r="D26" s="31">
        <f>D24+D25</f>
        <v>-6.5500000000000003E-3</v>
      </c>
      <c r="E26" s="38"/>
      <c r="F26" s="38"/>
      <c r="G26" s="80">
        <v>18</v>
      </c>
      <c r="H26" s="185" t="s">
        <v>11</v>
      </c>
      <c r="I26" s="185"/>
      <c r="J26" s="31">
        <f>J24+J25</f>
        <v>4.0099999999999997E-3</v>
      </c>
      <c r="K26" s="38"/>
    </row>
    <row r="27" spans="1:15" ht="28.9" customHeight="1" x14ac:dyDescent="0.25">
      <c r="A27" s="80">
        <v>19</v>
      </c>
      <c r="B27" s="186" t="s">
        <v>12</v>
      </c>
      <c r="C27" s="186"/>
      <c r="D27" s="32">
        <f>'Conversion Factors'!$E$114</f>
        <v>1.045369</v>
      </c>
      <c r="E27" s="37"/>
      <c r="F27" s="37"/>
      <c r="G27" s="80">
        <v>19</v>
      </c>
      <c r="H27" s="186" t="s">
        <v>12</v>
      </c>
      <c r="I27" s="186"/>
      <c r="J27" s="32">
        <f>D27</f>
        <v>1.045369</v>
      </c>
      <c r="K27" s="37"/>
    </row>
    <row r="28" spans="1:15" ht="27" customHeight="1" x14ac:dyDescent="0.25">
      <c r="A28" s="80">
        <v>20</v>
      </c>
      <c r="B28" s="30" t="s">
        <v>79</v>
      </c>
      <c r="C28" s="30"/>
      <c r="D28" s="31">
        <f>ROUND(D26*D27,5)</f>
        <v>-6.8500000000000002E-3</v>
      </c>
      <c r="E28" s="37"/>
      <c r="F28" s="37"/>
      <c r="G28" s="80">
        <v>20</v>
      </c>
      <c r="H28" s="30" t="s">
        <v>79</v>
      </c>
      <c r="I28" s="30"/>
      <c r="J28" s="31">
        <f>ROUND(J26*J27,5)</f>
        <v>4.1900000000000001E-3</v>
      </c>
      <c r="K28" s="37"/>
    </row>
    <row r="29" spans="1:15" ht="27" customHeight="1" x14ac:dyDescent="0.25">
      <c r="A29" s="80">
        <v>21</v>
      </c>
      <c r="B29" s="30" t="s">
        <v>71</v>
      </c>
      <c r="C29" s="30"/>
      <c r="D29" s="31">
        <f>'Earnings Test and 3% Test'!E56</f>
        <v>0</v>
      </c>
      <c r="E29" s="37"/>
      <c r="F29" s="37"/>
      <c r="G29" s="80">
        <v>21</v>
      </c>
      <c r="H29" s="30" t="s">
        <v>71</v>
      </c>
      <c r="I29" s="30"/>
      <c r="J29" s="31">
        <f>'Earnings Test and 3% Test'!F56</f>
        <v>0</v>
      </c>
      <c r="K29" s="37"/>
    </row>
    <row r="30" spans="1:15" ht="27" customHeight="1" x14ac:dyDescent="0.25">
      <c r="A30" s="80">
        <v>22</v>
      </c>
      <c r="B30" s="30" t="s">
        <v>72</v>
      </c>
      <c r="C30" s="30"/>
      <c r="D30" s="31">
        <f>D28+D29</f>
        <v>-6.8500000000000002E-3</v>
      </c>
      <c r="E30" s="37" t="str">
        <f>IF(D30&lt;0,"Rebate Rate","Surcharge Rate")</f>
        <v>Rebate Rate</v>
      </c>
      <c r="F30" s="37"/>
      <c r="G30" s="80">
        <v>22</v>
      </c>
      <c r="H30" s="30" t="s">
        <v>72</v>
      </c>
      <c r="I30" s="30"/>
      <c r="J30" s="31">
        <f>J28+J29</f>
        <v>4.1900000000000001E-3</v>
      </c>
      <c r="K30" s="37" t="str">
        <f>IF(J30&lt;0,"Rebate Rate","Surcharge Rate")</f>
        <v>Surcharge Rate</v>
      </c>
    </row>
    <row r="31" spans="1:15" ht="27" customHeight="1" x14ac:dyDescent="0.25">
      <c r="A31" s="80">
        <v>23</v>
      </c>
      <c r="B31" s="30"/>
      <c r="C31" s="34" t="s">
        <v>76</v>
      </c>
      <c r="D31" s="31">
        <f>ROUND(D30*'Conversion Factors'!$E$108,5)</f>
        <v>-6.5500000000000003E-3</v>
      </c>
      <c r="E31" s="37" t="s">
        <v>13</v>
      </c>
      <c r="F31" s="37"/>
      <c r="G31" s="80">
        <v>23</v>
      </c>
      <c r="H31" s="30"/>
      <c r="I31" s="34" t="s">
        <v>76</v>
      </c>
      <c r="J31" s="31">
        <f>ROUND(J30*'Conversion Factors'!$E$108,5)</f>
        <v>4.0099999999999997E-3</v>
      </c>
      <c r="K31" s="37" t="s">
        <v>13</v>
      </c>
    </row>
    <row r="32" spans="1:15" ht="27" customHeight="1" x14ac:dyDescent="0.25">
      <c r="A32" s="80">
        <v>24</v>
      </c>
      <c r="B32" s="30" t="s">
        <v>78</v>
      </c>
      <c r="C32" s="30"/>
      <c r="D32" s="82">
        <f>IF(D29=0,0,C68)</f>
        <v>0</v>
      </c>
      <c r="E32" s="37"/>
      <c r="F32" s="37"/>
      <c r="G32" s="80">
        <v>24</v>
      </c>
      <c r="H32" s="30" t="s">
        <v>73</v>
      </c>
      <c r="I32" s="30"/>
      <c r="J32" s="82">
        <f>IF(J29=0,0,I68)</f>
        <v>0</v>
      </c>
      <c r="K32" s="37"/>
    </row>
    <row r="33" spans="1:12" ht="14.65" customHeight="1" x14ac:dyDescent="0.25">
      <c r="B33" s="30"/>
      <c r="C33" s="30"/>
      <c r="D33" s="29"/>
      <c r="E33" s="37"/>
      <c r="F33" s="37"/>
      <c r="H33" s="30"/>
      <c r="I33" s="30"/>
      <c r="J33" s="29"/>
      <c r="K33" s="37"/>
    </row>
    <row r="34" spans="1:12" ht="14.65" customHeight="1" x14ac:dyDescent="0.25">
      <c r="A34" s="55" t="s">
        <v>74</v>
      </c>
      <c r="B34" s="55" t="s">
        <v>74</v>
      </c>
      <c r="C34" s="30"/>
      <c r="D34" s="29"/>
      <c r="E34" s="37"/>
      <c r="F34" s="37"/>
      <c r="G34" s="55" t="s">
        <v>74</v>
      </c>
      <c r="H34" s="55" t="s">
        <v>74</v>
      </c>
      <c r="I34" s="30"/>
      <c r="J34" s="29"/>
      <c r="K34" s="37"/>
    </row>
    <row r="35" spans="1:12" ht="49.15" customHeight="1" x14ac:dyDescent="0.25">
      <c r="A35" s="77" t="s">
        <v>100</v>
      </c>
      <c r="B35" s="184" t="str">
        <f>"Deferral balance at the end of the month, Rate of "&amp;TEXT(D25,"$0.00000")&amp;" to recover the July 2020 balance of "&amp;TEXT(C8,"$000,000")&amp;" over 12 months.  See page 2 and 5 of Attachment A for July 2020 balance calculation."</f>
        <v>Deferral balance at the end of the month, Rate of -$0.00640 to recover the July 2020 balance of -$837,046 over 12 months.  See page 2 and 5 of Attachment A for July 2020 balance calculation.</v>
      </c>
      <c r="C35" s="184"/>
      <c r="D35" s="184"/>
      <c r="E35" s="184"/>
      <c r="F35" s="37"/>
      <c r="G35" s="77" t="s">
        <v>100</v>
      </c>
      <c r="H35" s="184" t="str">
        <f>"Deferral balance at the end of the month, Rate of "&amp;TEXT(J25,"$0.00000")&amp;" to recover the July 2020 balance of "&amp;TEXT(I8,"$000,000")&amp;" over 12 months.  See page 4 and 5 of Attachment A for July 2020 balance calculation."</f>
        <v>Deferral balance at the end of the month, Rate of $0.00392 to recover the July 2020 balance of $236,954 over 12 months.  See page 4 and 5 of Attachment A for July 2020 balance calculation.</v>
      </c>
      <c r="I35" s="184"/>
      <c r="J35" s="184"/>
      <c r="K35" s="184"/>
    </row>
    <row r="36" spans="1:12" ht="32.450000000000003" customHeight="1" x14ac:dyDescent="0.25">
      <c r="A36" s="77" t="s">
        <v>101</v>
      </c>
      <c r="B36" s="184" t="s">
        <v>102</v>
      </c>
      <c r="C36" s="184"/>
      <c r="D36" s="184"/>
      <c r="E36" s="184"/>
      <c r="F36" s="37"/>
      <c r="G36" s="77" t="s">
        <v>101</v>
      </c>
      <c r="H36" s="184" t="s">
        <v>102</v>
      </c>
      <c r="I36" s="184"/>
      <c r="J36" s="184"/>
      <c r="K36" s="184"/>
    </row>
    <row r="37" spans="1:12" ht="15.6" customHeight="1" x14ac:dyDescent="0.25">
      <c r="B37" s="59" t="s">
        <v>77</v>
      </c>
      <c r="C37" s="79"/>
      <c r="D37" s="79"/>
      <c r="E37" s="79"/>
      <c r="F37" s="37"/>
      <c r="H37" s="59" t="s">
        <v>77</v>
      </c>
      <c r="I37" s="79"/>
      <c r="J37" s="79"/>
      <c r="K37" s="79"/>
    </row>
    <row r="38" spans="1:12" ht="18" customHeight="1" x14ac:dyDescent="0.25">
      <c r="A38" s="77" t="s">
        <v>103</v>
      </c>
      <c r="B38" s="181" t="s">
        <v>172</v>
      </c>
      <c r="C38" s="181"/>
      <c r="D38" s="181"/>
      <c r="E38" s="181"/>
      <c r="F38" s="37"/>
      <c r="G38" s="77" t="s">
        <v>103</v>
      </c>
      <c r="H38" s="181" t="s">
        <v>172</v>
      </c>
      <c r="I38" s="181"/>
      <c r="J38" s="181"/>
      <c r="K38" s="181"/>
    </row>
    <row r="39" spans="1:12" ht="18" customHeight="1" x14ac:dyDescent="0.25">
      <c r="A39" s="77" t="s">
        <v>104</v>
      </c>
      <c r="B39" s="181" t="s">
        <v>115</v>
      </c>
      <c r="C39" s="181"/>
      <c r="D39" s="181"/>
      <c r="E39" s="181"/>
      <c r="F39" s="37"/>
      <c r="G39" s="77" t="s">
        <v>104</v>
      </c>
      <c r="H39" s="181" t="s">
        <v>115</v>
      </c>
      <c r="I39" s="181"/>
      <c r="J39" s="181"/>
      <c r="K39" s="181"/>
    </row>
    <row r="40" spans="1:12" ht="18" customHeight="1" x14ac:dyDescent="0.25">
      <c r="A40" s="77" t="s">
        <v>105</v>
      </c>
      <c r="B40" s="181" t="s">
        <v>106</v>
      </c>
      <c r="C40" s="181"/>
      <c r="D40" s="181"/>
      <c r="E40" s="181"/>
      <c r="F40" s="37"/>
      <c r="G40" s="77" t="s">
        <v>105</v>
      </c>
      <c r="H40" s="181" t="s">
        <v>110</v>
      </c>
      <c r="I40" s="181"/>
      <c r="J40" s="181"/>
      <c r="K40" s="181"/>
    </row>
    <row r="41" spans="1:12" x14ac:dyDescent="0.25">
      <c r="B41" s="30"/>
      <c r="C41" s="30"/>
      <c r="D41" s="29"/>
      <c r="E41" s="37"/>
      <c r="F41" s="37"/>
      <c r="H41" s="30"/>
      <c r="I41" s="30"/>
      <c r="J41" s="29"/>
      <c r="K41" s="37"/>
    </row>
    <row r="42" spans="1:12" ht="27.6" customHeight="1" x14ac:dyDescent="0.3">
      <c r="B42" s="182" t="str">
        <f>B5</f>
        <v>Residential Natural Gas</v>
      </c>
      <c r="C42" s="182"/>
      <c r="D42" s="182"/>
      <c r="E42" s="182"/>
      <c r="F42" s="27"/>
      <c r="H42" s="182" t="str">
        <f>H5</f>
        <v>Non-Residential Natural Gas</v>
      </c>
      <c r="I42" s="182"/>
      <c r="J42" s="182"/>
      <c r="K42" s="182"/>
    </row>
    <row r="43" spans="1:12" x14ac:dyDescent="0.25">
      <c r="A43" s="78"/>
      <c r="B43" s="183" t="s">
        <v>173</v>
      </c>
      <c r="C43" s="183"/>
      <c r="D43" s="183"/>
      <c r="E43" s="183"/>
      <c r="F43" s="30"/>
      <c r="G43" s="78"/>
      <c r="H43" s="183" t="str">
        <f>B43</f>
        <v>Calculate Estimated Monthly Balances through July 2021</v>
      </c>
      <c r="I43" s="183"/>
      <c r="J43" s="183"/>
      <c r="K43" s="183"/>
    </row>
    <row r="44" spans="1:12" ht="30" x14ac:dyDescent="0.25">
      <c r="A44" s="78" t="s">
        <v>94</v>
      </c>
      <c r="B44" s="30"/>
      <c r="C44" s="27" t="s">
        <v>8</v>
      </c>
      <c r="D44" s="27" t="s">
        <v>3</v>
      </c>
      <c r="E44" s="36" t="s">
        <v>75</v>
      </c>
      <c r="F44" s="105" t="s">
        <v>119</v>
      </c>
      <c r="G44" s="78" t="s">
        <v>94</v>
      </c>
      <c r="H44" s="30"/>
      <c r="I44" s="27" t="s">
        <v>8</v>
      </c>
      <c r="J44" s="27" t="s">
        <v>3</v>
      </c>
      <c r="K44" s="36" t="s">
        <v>75</v>
      </c>
      <c r="L44" s="136" t="s">
        <v>119</v>
      </c>
    </row>
    <row r="45" spans="1:12" x14ac:dyDescent="0.25">
      <c r="B45" s="30"/>
      <c r="C45" s="30"/>
      <c r="D45" s="58"/>
      <c r="E45" s="30"/>
      <c r="F45" s="30"/>
      <c r="H45" s="30"/>
      <c r="I45" s="30"/>
      <c r="J45" s="58"/>
      <c r="K45" s="30"/>
    </row>
    <row r="46" spans="1:12" x14ac:dyDescent="0.25">
      <c r="A46" s="80">
        <v>1</v>
      </c>
      <c r="B46" s="54">
        <v>43800</v>
      </c>
      <c r="C46" s="163">
        <v>-1053674.32</v>
      </c>
      <c r="D46" s="30"/>
      <c r="E46" s="30"/>
      <c r="F46" s="30"/>
      <c r="G46" s="80">
        <v>1</v>
      </c>
      <c r="H46" s="54">
        <f>B46</f>
        <v>43800</v>
      </c>
      <c r="I46" s="163">
        <v>63249</v>
      </c>
      <c r="J46" s="30"/>
      <c r="K46" s="30"/>
    </row>
    <row r="47" spans="1:12" x14ac:dyDescent="0.25">
      <c r="A47" s="80">
        <v>2</v>
      </c>
      <c r="B47" s="101" t="s">
        <v>80</v>
      </c>
      <c r="C47" s="29">
        <f>-'Earnings Test and 3% Test'!F34</f>
        <v>0</v>
      </c>
      <c r="D47" s="30"/>
      <c r="E47" s="30"/>
      <c r="F47" s="30"/>
      <c r="G47" s="80">
        <v>2</v>
      </c>
      <c r="H47" s="101" t="str">
        <f t="shared" ref="H47:H68" si="6">B47</f>
        <v>Earnings Sharing Adjustment</v>
      </c>
      <c r="I47" s="29">
        <f>-'Earnings Test and 3% Test'!F35</f>
        <v>0</v>
      </c>
      <c r="J47" s="30"/>
      <c r="K47" s="30"/>
    </row>
    <row r="48" spans="1:12" x14ac:dyDescent="0.25">
      <c r="A48" s="80">
        <v>3</v>
      </c>
      <c r="B48" s="101" t="s">
        <v>81</v>
      </c>
      <c r="C48" s="29">
        <f>C46+C47</f>
        <v>-1053674.32</v>
      </c>
      <c r="D48" s="30"/>
      <c r="E48" s="30"/>
      <c r="F48" s="30"/>
      <c r="G48" s="80">
        <v>3</v>
      </c>
      <c r="H48" s="101" t="str">
        <f t="shared" si="6"/>
        <v>Adjusted December Balance</v>
      </c>
      <c r="I48" s="29">
        <f>I46+I47</f>
        <v>63249</v>
      </c>
      <c r="J48" s="30"/>
      <c r="K48" s="30"/>
    </row>
    <row r="49" spans="1:12" x14ac:dyDescent="0.25">
      <c r="A49" s="80">
        <v>4</v>
      </c>
      <c r="B49" s="54">
        <f>B46+31</f>
        <v>43831</v>
      </c>
      <c r="C49" s="29">
        <f>C48+D49-E49</f>
        <v>-1058029.5071893334</v>
      </c>
      <c r="D49" s="29">
        <f>(C48-E49/2)*F49/12</f>
        <v>-4355.1871893333337</v>
      </c>
      <c r="E49" s="30"/>
      <c r="F49" s="162">
        <v>4.9599999999999998E-2</v>
      </c>
      <c r="G49" s="80">
        <v>4</v>
      </c>
      <c r="H49" s="54">
        <f t="shared" si="6"/>
        <v>43831</v>
      </c>
      <c r="I49" s="29">
        <f>I48+J49-K49</f>
        <v>63510.429199999999</v>
      </c>
      <c r="J49" s="29">
        <f>(I48-K49/2)*L49/12</f>
        <v>261.42919999999998</v>
      </c>
      <c r="K49" s="30"/>
      <c r="L49" s="84">
        <f>F49</f>
        <v>4.9599999999999998E-2</v>
      </c>
    </row>
    <row r="50" spans="1:12" x14ac:dyDescent="0.25">
      <c r="A50" s="80">
        <v>5</v>
      </c>
      <c r="B50" s="54">
        <f>B49+31</f>
        <v>43862</v>
      </c>
      <c r="C50" s="29">
        <f t="shared" ref="C50:C55" si="7">C49+D50-E50</f>
        <v>-1062402.6958190494</v>
      </c>
      <c r="D50" s="82">
        <f t="shared" ref="D50:D55" si="8">(C49-E50/2)*F50/12</f>
        <v>-4373.1886297159117</v>
      </c>
      <c r="E50" s="30"/>
      <c r="F50" s="135">
        <f>F49</f>
        <v>4.9599999999999998E-2</v>
      </c>
      <c r="G50" s="80">
        <v>5</v>
      </c>
      <c r="H50" s="54">
        <f t="shared" si="6"/>
        <v>43862</v>
      </c>
      <c r="I50" s="29">
        <f t="shared" ref="I50:I55" si="9">I49+J50-K50</f>
        <v>63772.938974026663</v>
      </c>
      <c r="J50" s="82">
        <f t="shared" ref="J50:J55" si="10">(I49-K50/2)*L50/12</f>
        <v>262.50977402666666</v>
      </c>
      <c r="K50" s="30"/>
      <c r="L50" s="84">
        <f t="shared" ref="L50:L68" si="11">F50</f>
        <v>4.9599999999999998E-2</v>
      </c>
    </row>
    <row r="51" spans="1:12" x14ac:dyDescent="0.25">
      <c r="A51" s="80">
        <v>6</v>
      </c>
      <c r="B51" s="54">
        <f t="shared" ref="B51:B55" si="12">B50+31</f>
        <v>43893</v>
      </c>
      <c r="C51" s="29">
        <f t="shared" si="7"/>
        <v>-1066793.9602951014</v>
      </c>
      <c r="D51" s="82">
        <f t="shared" si="8"/>
        <v>-4391.2644760520707</v>
      </c>
      <c r="E51" s="30"/>
      <c r="F51" s="135">
        <f t="shared" ref="F51:F68" si="13">F50</f>
        <v>4.9599999999999998E-2</v>
      </c>
      <c r="G51" s="80">
        <v>6</v>
      </c>
      <c r="H51" s="54">
        <f t="shared" si="6"/>
        <v>43893</v>
      </c>
      <c r="I51" s="29">
        <f t="shared" si="9"/>
        <v>64036.533788452638</v>
      </c>
      <c r="J51" s="82">
        <f t="shared" si="10"/>
        <v>263.59481442597684</v>
      </c>
      <c r="K51" s="30"/>
      <c r="L51" s="84">
        <f t="shared" si="11"/>
        <v>4.9599999999999998E-2</v>
      </c>
    </row>
    <row r="52" spans="1:12" x14ac:dyDescent="0.25">
      <c r="A52" s="80">
        <v>7</v>
      </c>
      <c r="B52" s="54">
        <f t="shared" si="12"/>
        <v>43924</v>
      </c>
      <c r="C52" s="29">
        <f t="shared" si="7"/>
        <v>-1071016.6863879361</v>
      </c>
      <c r="D52" s="82">
        <f t="shared" si="8"/>
        <v>-4222.726092834776</v>
      </c>
      <c r="E52" s="30"/>
      <c r="F52" s="162">
        <v>4.7500000000000001E-2</v>
      </c>
      <c r="G52" s="80">
        <v>7</v>
      </c>
      <c r="H52" s="54">
        <f t="shared" si="6"/>
        <v>43924</v>
      </c>
      <c r="I52" s="29">
        <f t="shared" si="9"/>
        <v>64290.011734698594</v>
      </c>
      <c r="J52" s="82">
        <f t="shared" si="10"/>
        <v>253.47794624595838</v>
      </c>
      <c r="K52" s="30"/>
      <c r="L52" s="84">
        <f t="shared" si="11"/>
        <v>4.7500000000000001E-2</v>
      </c>
    </row>
    <row r="53" spans="1:12" x14ac:dyDescent="0.25">
      <c r="A53" s="80">
        <v>8</v>
      </c>
      <c r="B53" s="54">
        <f t="shared" si="12"/>
        <v>43955</v>
      </c>
      <c r="C53" s="29">
        <f t="shared" si="7"/>
        <v>-1075256.1274382216</v>
      </c>
      <c r="D53" s="82">
        <f t="shared" si="8"/>
        <v>-4239.4410502855808</v>
      </c>
      <c r="E53" s="30"/>
      <c r="F53" s="135">
        <f t="shared" si="13"/>
        <v>4.7500000000000001E-2</v>
      </c>
      <c r="G53" s="80">
        <v>8</v>
      </c>
      <c r="H53" s="54">
        <f t="shared" si="6"/>
        <v>43955</v>
      </c>
      <c r="I53" s="29">
        <f t="shared" si="9"/>
        <v>64544.493031148442</v>
      </c>
      <c r="J53" s="82">
        <f t="shared" si="10"/>
        <v>254.4812964498486</v>
      </c>
      <c r="K53" s="30"/>
      <c r="L53" s="84">
        <f t="shared" si="11"/>
        <v>4.7500000000000001E-2</v>
      </c>
    </row>
    <row r="54" spans="1:12" x14ac:dyDescent="0.25">
      <c r="A54" s="80">
        <v>9</v>
      </c>
      <c r="B54" s="54">
        <f t="shared" si="12"/>
        <v>43986</v>
      </c>
      <c r="C54" s="29">
        <f t="shared" si="7"/>
        <v>-1079512.3496093312</v>
      </c>
      <c r="D54" s="82">
        <f t="shared" si="8"/>
        <v>-4256.2221711096272</v>
      </c>
      <c r="E54" s="30"/>
      <c r="F54" s="135">
        <f t="shared" si="13"/>
        <v>4.7500000000000001E-2</v>
      </c>
      <c r="G54" s="80">
        <v>9</v>
      </c>
      <c r="H54" s="54">
        <f t="shared" si="6"/>
        <v>43986</v>
      </c>
      <c r="I54" s="29">
        <f t="shared" si="9"/>
        <v>64799.981649396737</v>
      </c>
      <c r="J54" s="82">
        <f t="shared" si="10"/>
        <v>255.48861824829592</v>
      </c>
      <c r="K54" s="30"/>
      <c r="L54" s="84">
        <f t="shared" si="11"/>
        <v>4.7500000000000001E-2</v>
      </c>
    </row>
    <row r="55" spans="1:12" x14ac:dyDescent="0.25">
      <c r="A55" s="80">
        <v>10</v>
      </c>
      <c r="B55" s="56">
        <f t="shared" si="12"/>
        <v>44017</v>
      </c>
      <c r="C55" s="57">
        <f t="shared" si="7"/>
        <v>-1083785.4193265347</v>
      </c>
      <c r="D55" s="82">
        <f t="shared" si="8"/>
        <v>-4273.0697172036025</v>
      </c>
      <c r="E55" s="30"/>
      <c r="F55" s="162">
        <f>F54</f>
        <v>4.7500000000000001E-2</v>
      </c>
      <c r="G55" s="80">
        <v>10</v>
      </c>
      <c r="H55" s="56">
        <f t="shared" si="6"/>
        <v>44017</v>
      </c>
      <c r="I55" s="57">
        <f t="shared" si="9"/>
        <v>65056.481576758932</v>
      </c>
      <c r="J55" s="82">
        <f t="shared" si="10"/>
        <v>256.49992736219542</v>
      </c>
      <c r="K55" s="30"/>
      <c r="L55" s="84">
        <f t="shared" si="11"/>
        <v>4.7500000000000001E-2</v>
      </c>
    </row>
    <row r="56" spans="1:12" s="81" customFormat="1" x14ac:dyDescent="0.25">
      <c r="A56" s="161">
        <v>11</v>
      </c>
      <c r="B56" s="101" t="s">
        <v>175</v>
      </c>
      <c r="C56" s="52">
        <f>'Prior Year Amortization'!F17</f>
        <v>246739.48000000007</v>
      </c>
      <c r="D56" s="82"/>
      <c r="E56" s="30"/>
      <c r="F56" s="162"/>
      <c r="G56" s="161"/>
      <c r="H56" s="101" t="s">
        <v>175</v>
      </c>
      <c r="I56" s="52">
        <f>'Prior Year Amortization'!F31</f>
        <v>171897.11999999991</v>
      </c>
      <c r="J56" s="82"/>
      <c r="K56" s="30"/>
      <c r="L56" s="84"/>
    </row>
    <row r="57" spans="1:12" x14ac:dyDescent="0.25">
      <c r="A57" s="161">
        <v>12</v>
      </c>
      <c r="B57" s="54">
        <f>B55+31</f>
        <v>44048</v>
      </c>
      <c r="C57" s="82">
        <f>C55+C56+D57-E57</f>
        <v>-826893.92071433924</v>
      </c>
      <c r="D57" s="82">
        <f>(C55+C56-E57/2)*F57/12</f>
        <v>-3286.7093607211355</v>
      </c>
      <c r="E57" s="82">
        <f>E9*D$31</f>
        <v>-13438.727972916542</v>
      </c>
      <c r="F57" s="135">
        <f>F55</f>
        <v>4.7500000000000001E-2</v>
      </c>
      <c r="G57" s="80">
        <v>11</v>
      </c>
      <c r="H57" s="54">
        <f t="shared" si="6"/>
        <v>44048</v>
      </c>
      <c r="I57" s="82">
        <f>I55+I56+J57-K57</f>
        <v>229477.97594965229</v>
      </c>
      <c r="J57" s="82">
        <f>(I55+I56-K57/2)*L57/12</f>
        <v>921.32237997731693</v>
      </c>
      <c r="K57" s="82">
        <f>K9*J$31</f>
        <v>8396.9480070838745</v>
      </c>
      <c r="L57" s="84">
        <f t="shared" si="11"/>
        <v>4.7500000000000001E-2</v>
      </c>
    </row>
    <row r="58" spans="1:12" x14ac:dyDescent="0.25">
      <c r="A58" s="161">
        <v>13</v>
      </c>
      <c r="B58" s="54">
        <f t="shared" ref="B58:B68" si="14">B57+31</f>
        <v>44079</v>
      </c>
      <c r="C58" s="82">
        <f>C57+D58-E58</f>
        <v>-809307.7817373561</v>
      </c>
      <c r="D58" s="82">
        <f>(C57-E58/2)*F58/12</f>
        <v>-3231.9193623643009</v>
      </c>
      <c r="E58" s="82">
        <f>E10*D$31</f>
        <v>-20818.058339347426</v>
      </c>
      <c r="F58" s="135">
        <f t="shared" si="13"/>
        <v>4.7500000000000001E-2</v>
      </c>
      <c r="G58" s="80">
        <v>12</v>
      </c>
      <c r="H58" s="54">
        <f t="shared" si="6"/>
        <v>44079</v>
      </c>
      <c r="I58" s="82">
        <f>I57+J58-K58</f>
        <v>220811.81816989387</v>
      </c>
      <c r="J58" s="82">
        <f>(I57-K58/2)*L58/12</f>
        <v>889.43820441536309</v>
      </c>
      <c r="K58" s="82">
        <f>K10*J$31</f>
        <v>9555.595984173784</v>
      </c>
      <c r="L58" s="84">
        <f t="shared" si="11"/>
        <v>4.7500000000000001E-2</v>
      </c>
    </row>
    <row r="59" spans="1:12" x14ac:dyDescent="0.25">
      <c r="A59" s="80">
        <v>14</v>
      </c>
      <c r="B59" s="54">
        <f t="shared" si="14"/>
        <v>44110</v>
      </c>
      <c r="C59" s="82">
        <f>C58+D59-E59</f>
        <v>-755408.56535165594</v>
      </c>
      <c r="D59" s="82">
        <f t="shared" ref="D59:D66" si="15">(C58-E59/2)*F59/12</f>
        <v>-3090.7173921084545</v>
      </c>
      <c r="E59" s="82">
        <f t="shared" ref="E59:E68" si="16">E11*D$31</f>
        <v>-56989.933777808576</v>
      </c>
      <c r="F59" s="135">
        <f t="shared" si="13"/>
        <v>4.7500000000000001E-2</v>
      </c>
      <c r="G59" s="80">
        <v>13</v>
      </c>
      <c r="H59" s="54">
        <f t="shared" si="6"/>
        <v>44110</v>
      </c>
      <c r="I59" s="82">
        <f t="shared" ref="I59:I68" si="17">I58+J59-K59</f>
        <v>201039.02738410351</v>
      </c>
      <c r="J59" s="82">
        <f t="shared" ref="J59:J68" si="18">(I58-K59/2)*L59/12</f>
        <v>833.26396356439864</v>
      </c>
      <c r="K59" s="82">
        <f t="shared" ref="K59:K68" si="19">K11*J$31</f>
        <v>20606.054749354764</v>
      </c>
      <c r="L59" s="84">
        <f t="shared" si="11"/>
        <v>4.7500000000000001E-2</v>
      </c>
    </row>
    <row r="60" spans="1:12" x14ac:dyDescent="0.25">
      <c r="A60" s="88">
        <v>15</v>
      </c>
      <c r="B60" s="54">
        <f t="shared" si="14"/>
        <v>44141</v>
      </c>
      <c r="C60" s="82">
        <f>C59+D60-E60</f>
        <v>-655242.12127417955</v>
      </c>
      <c r="D60" s="82">
        <f>(C59-E60/2)*F60/12</f>
        <v>-2786.3980710979181</v>
      </c>
      <c r="E60" s="82">
        <f t="shared" si="16"/>
        <v>-102952.84214857424</v>
      </c>
      <c r="F60" s="135">
        <f t="shared" si="13"/>
        <v>4.7500000000000001E-2</v>
      </c>
      <c r="G60" s="161">
        <v>14</v>
      </c>
      <c r="H60" s="54">
        <f t="shared" si="6"/>
        <v>44141</v>
      </c>
      <c r="I60" s="82">
        <f t="shared" si="17"/>
        <v>173146.44891570977</v>
      </c>
      <c r="J60" s="82">
        <f t="shared" si="18"/>
        <v>739.11259483277388</v>
      </c>
      <c r="K60" s="82">
        <f t="shared" si="19"/>
        <v>28631.691063226524</v>
      </c>
      <c r="L60" s="84">
        <f t="shared" si="11"/>
        <v>4.7500000000000001E-2</v>
      </c>
    </row>
    <row r="61" spans="1:12" x14ac:dyDescent="0.25">
      <c r="A61" s="88">
        <v>16</v>
      </c>
      <c r="B61" s="54">
        <f t="shared" si="14"/>
        <v>44172</v>
      </c>
      <c r="C61" s="82">
        <f t="shared" ref="C61:C66" si="20">C60+D61-E61</f>
        <v>-515264.54228302056</v>
      </c>
      <c r="D61" s="82">
        <f t="shared" si="15"/>
        <v>-2312.051835698805</v>
      </c>
      <c r="E61" s="82">
        <f t="shared" si="16"/>
        <v>-142289.63082685773</v>
      </c>
      <c r="F61" s="135">
        <f t="shared" si="13"/>
        <v>4.7500000000000001E-2</v>
      </c>
      <c r="G61" s="161">
        <v>15</v>
      </c>
      <c r="H61" s="54">
        <f t="shared" si="6"/>
        <v>44172</v>
      </c>
      <c r="I61" s="82">
        <f t="shared" si="17"/>
        <v>138204.45172791462</v>
      </c>
      <c r="J61" s="82">
        <f t="shared" si="18"/>
        <v>614.99814037102226</v>
      </c>
      <c r="K61" s="82">
        <f t="shared" si="19"/>
        <v>35556.995328166166</v>
      </c>
      <c r="L61" s="84">
        <f t="shared" si="11"/>
        <v>4.7500000000000001E-2</v>
      </c>
    </row>
    <row r="62" spans="1:12" ht="14.45" customHeight="1" x14ac:dyDescent="0.25">
      <c r="A62" s="88">
        <v>17</v>
      </c>
      <c r="B62" s="54">
        <f t="shared" si="14"/>
        <v>44203</v>
      </c>
      <c r="C62" s="82">
        <f t="shared" si="20"/>
        <v>-364364.55278999975</v>
      </c>
      <c r="D62" s="82">
        <f t="shared" si="15"/>
        <v>-1737.4937941976698</v>
      </c>
      <c r="E62" s="82">
        <f t="shared" si="16"/>
        <v>-152637.48328721849</v>
      </c>
      <c r="F62" s="135">
        <f t="shared" si="13"/>
        <v>4.7500000000000001E-2</v>
      </c>
      <c r="G62" s="161">
        <v>16</v>
      </c>
      <c r="H62" s="54">
        <f t="shared" si="6"/>
        <v>44203</v>
      </c>
      <c r="I62" s="82">
        <f t="shared" si="17"/>
        <v>101095.99809855572</v>
      </c>
      <c r="J62" s="82">
        <f t="shared" si="18"/>
        <v>472.67996119169737</v>
      </c>
      <c r="K62" s="82">
        <f t="shared" si="19"/>
        <v>37581.133590550606</v>
      </c>
      <c r="L62" s="84">
        <f t="shared" si="11"/>
        <v>4.7500000000000001E-2</v>
      </c>
    </row>
    <row r="63" spans="1:12" x14ac:dyDescent="0.25">
      <c r="A63" s="88">
        <v>18</v>
      </c>
      <c r="B63" s="54">
        <f t="shared" si="14"/>
        <v>44234</v>
      </c>
      <c r="C63" s="82">
        <f t="shared" si="20"/>
        <v>-234627.11649461329</v>
      </c>
      <c r="D63" s="82">
        <f t="shared" si="15"/>
        <v>-1183.1626693427224</v>
      </c>
      <c r="E63" s="82">
        <f t="shared" si="16"/>
        <v>-130920.59896472919</v>
      </c>
      <c r="F63" s="135">
        <f t="shared" si="13"/>
        <v>4.7500000000000001E-2</v>
      </c>
      <c r="G63" s="161">
        <v>17</v>
      </c>
      <c r="H63" s="54">
        <f t="shared" si="6"/>
        <v>44234</v>
      </c>
      <c r="I63" s="82">
        <f t="shared" si="17"/>
        <v>69517.928066164561</v>
      </c>
      <c r="J63" s="82">
        <f t="shared" si="18"/>
        <v>337.00640369369847</v>
      </c>
      <c r="K63" s="82">
        <f t="shared" si="19"/>
        <v>31915.076436084852</v>
      </c>
      <c r="L63" s="84">
        <f t="shared" si="11"/>
        <v>4.7500000000000001E-2</v>
      </c>
    </row>
    <row r="64" spans="1:12" x14ac:dyDescent="0.25">
      <c r="A64" s="88">
        <v>19</v>
      </c>
      <c r="B64" s="54">
        <f t="shared" si="14"/>
        <v>44265</v>
      </c>
      <c r="C64" s="82">
        <f t="shared" si="20"/>
        <v>-130912.06657565439</v>
      </c>
      <c r="D64" s="82">
        <f t="shared" si="15"/>
        <v>-722.0339409850385</v>
      </c>
      <c r="E64" s="82">
        <f t="shared" si="16"/>
        <v>-104437.08385994394</v>
      </c>
      <c r="F64" s="135">
        <f t="shared" si="13"/>
        <v>4.7500000000000001E-2</v>
      </c>
      <c r="G64" s="161">
        <v>18</v>
      </c>
      <c r="H64" s="54">
        <f t="shared" si="6"/>
        <v>44265</v>
      </c>
      <c r="I64" s="82">
        <f t="shared" si="17"/>
        <v>43121.017565308226</v>
      </c>
      <c r="J64" s="82">
        <f t="shared" si="18"/>
        <v>222.49089998939419</v>
      </c>
      <c r="K64" s="82">
        <f t="shared" si="19"/>
        <v>26619.401400845727</v>
      </c>
      <c r="L64" s="84">
        <f t="shared" si="11"/>
        <v>4.7500000000000001E-2</v>
      </c>
    </row>
    <row r="65" spans="1:12" x14ac:dyDescent="0.25">
      <c r="A65" s="161">
        <v>20</v>
      </c>
      <c r="B65" s="54">
        <f t="shared" si="14"/>
        <v>44296</v>
      </c>
      <c r="C65" s="82">
        <f t="shared" si="20"/>
        <v>-63647.259678122035</v>
      </c>
      <c r="D65" s="82">
        <f t="shared" si="15"/>
        <v>-384.30473009894507</v>
      </c>
      <c r="E65" s="82">
        <f t="shared" si="16"/>
        <v>-67649.111627631297</v>
      </c>
      <c r="F65" s="135">
        <f t="shared" si="13"/>
        <v>4.7500000000000001E-2</v>
      </c>
      <c r="G65" s="161">
        <v>19</v>
      </c>
      <c r="H65" s="54">
        <f t="shared" si="6"/>
        <v>44296</v>
      </c>
      <c r="I65" s="82">
        <f t="shared" si="17"/>
        <v>24661.570461249597</v>
      </c>
      <c r="J65" s="82">
        <f t="shared" si="18"/>
        <v>133.88805203291386</v>
      </c>
      <c r="K65" s="82">
        <f t="shared" si="19"/>
        <v>18593.33515609154</v>
      </c>
      <c r="L65" s="84">
        <f t="shared" si="11"/>
        <v>4.7500000000000001E-2</v>
      </c>
    </row>
    <row r="66" spans="1:12" x14ac:dyDescent="0.25">
      <c r="A66" s="161">
        <v>21</v>
      </c>
      <c r="B66" s="54">
        <f t="shared" si="14"/>
        <v>44327</v>
      </c>
      <c r="C66" s="82">
        <f t="shared" si="20"/>
        <v>-32387.909435584494</v>
      </c>
      <c r="D66" s="82">
        <f t="shared" si="15"/>
        <v>-189.69416916107954</v>
      </c>
      <c r="E66" s="82">
        <f t="shared" si="16"/>
        <v>-31449.044411698618</v>
      </c>
      <c r="F66" s="135">
        <f t="shared" si="13"/>
        <v>4.7500000000000001E-2</v>
      </c>
      <c r="G66" s="161">
        <v>20</v>
      </c>
      <c r="H66" s="54">
        <f t="shared" si="6"/>
        <v>44327</v>
      </c>
      <c r="I66" s="82">
        <f t="shared" si="17"/>
        <v>14804.268436216415</v>
      </c>
      <c r="J66" s="82">
        <f t="shared" si="18"/>
        <v>77.9551865112646</v>
      </c>
      <c r="K66" s="82">
        <f t="shared" si="19"/>
        <v>9935.2572115444491</v>
      </c>
      <c r="L66" s="84">
        <f t="shared" si="11"/>
        <v>4.7500000000000001E-2</v>
      </c>
    </row>
    <row r="67" spans="1:12" x14ac:dyDescent="0.25">
      <c r="A67" s="161">
        <v>22</v>
      </c>
      <c r="B67" s="54">
        <f t="shared" si="14"/>
        <v>44358</v>
      </c>
      <c r="C67" s="82">
        <f t="shared" ref="C67:C68" si="21">C66+D67-E67</f>
        <v>-13899.316137910282</v>
      </c>
      <c r="D67" s="82">
        <f t="shared" ref="D67:D68" si="22">(C66-E67/2)*F67/12</f>
        <v>-91.429180361409792</v>
      </c>
      <c r="E67" s="82">
        <f t="shared" si="16"/>
        <v>-18580.022478035622</v>
      </c>
      <c r="F67" s="135">
        <f t="shared" si="13"/>
        <v>4.7500000000000001E-2</v>
      </c>
      <c r="G67" s="161">
        <v>21</v>
      </c>
      <c r="H67" s="54">
        <f t="shared" si="6"/>
        <v>44358</v>
      </c>
      <c r="I67" s="82">
        <f t="shared" si="17"/>
        <v>7210.4865278062916</v>
      </c>
      <c r="J67" s="82">
        <f t="shared" si="18"/>
        <v>43.48480552203258</v>
      </c>
      <c r="K67" s="82">
        <f t="shared" si="19"/>
        <v>7637.2667139321547</v>
      </c>
      <c r="L67" s="84">
        <f t="shared" si="11"/>
        <v>4.7500000000000001E-2</v>
      </c>
    </row>
    <row r="68" spans="1:12" x14ac:dyDescent="0.25">
      <c r="A68" s="161">
        <v>23</v>
      </c>
      <c r="B68" s="56">
        <f t="shared" si="14"/>
        <v>44389</v>
      </c>
      <c r="C68" s="57">
        <f t="shared" si="21"/>
        <v>1128.6660789016623</v>
      </c>
      <c r="D68" s="82">
        <f t="shared" si="22"/>
        <v>-25.225319796357599</v>
      </c>
      <c r="E68" s="82">
        <f t="shared" si="16"/>
        <v>-15053.207536608303</v>
      </c>
      <c r="F68" s="135">
        <f t="shared" si="13"/>
        <v>4.7500000000000001E-2</v>
      </c>
      <c r="G68" s="161">
        <v>22</v>
      </c>
      <c r="H68" s="56">
        <f t="shared" si="6"/>
        <v>44389</v>
      </c>
      <c r="I68" s="57">
        <f t="shared" si="17"/>
        <v>-336.88315337616768</v>
      </c>
      <c r="J68" s="82">
        <f t="shared" si="18"/>
        <v>13.577135265014279</v>
      </c>
      <c r="K68" s="82">
        <f t="shared" si="19"/>
        <v>7560.9468164474738</v>
      </c>
      <c r="L68" s="84">
        <f t="shared" si="11"/>
        <v>4.7500000000000001E-2</v>
      </c>
    </row>
    <row r="69" spans="1:12" x14ac:dyDescent="0.25">
      <c r="B69" s="30"/>
      <c r="C69" s="30"/>
      <c r="D69" s="30"/>
      <c r="E69" s="30"/>
      <c r="F69" s="30"/>
      <c r="H69" s="30"/>
      <c r="I69" s="30"/>
      <c r="J69" s="30"/>
      <c r="K69" s="30"/>
    </row>
    <row r="70" spans="1:12" x14ac:dyDescent="0.25">
      <c r="A70" s="80">
        <v>24</v>
      </c>
      <c r="B70" s="34" t="s">
        <v>95</v>
      </c>
      <c r="C70" s="30"/>
      <c r="D70" s="29">
        <f>SUM(D49:D69)</f>
        <v>-49152.239152468726</v>
      </c>
      <c r="E70" s="29">
        <f>SUM(E60:E68)</f>
        <v>-765969.02514129749</v>
      </c>
      <c r="F70" s="30"/>
      <c r="G70" s="80">
        <v>24</v>
      </c>
      <c r="H70" s="34" t="s">
        <v>95</v>
      </c>
      <c r="I70" s="30"/>
      <c r="J70" s="29">
        <f>SUM(J49:J69)</f>
        <v>7106.699304125832</v>
      </c>
      <c r="K70" s="29">
        <f>SUM(K60:K68)</f>
        <v>204031.10371688951</v>
      </c>
    </row>
    <row r="71" spans="1:12" x14ac:dyDescent="0.25">
      <c r="A71" s="80"/>
      <c r="B71" s="34"/>
      <c r="C71" s="30"/>
      <c r="D71" s="30"/>
      <c r="E71" s="30"/>
      <c r="F71" s="30"/>
      <c r="G71" s="80"/>
      <c r="H71" s="34"/>
      <c r="I71" s="30"/>
      <c r="J71" s="30"/>
      <c r="K71" s="30"/>
    </row>
    <row r="72" spans="1:12" x14ac:dyDescent="0.25">
      <c r="B72" s="47" t="s">
        <v>99</v>
      </c>
      <c r="H72" s="47" t="s">
        <v>99</v>
      </c>
    </row>
    <row r="73" spans="1:12" x14ac:dyDescent="0.25">
      <c r="A73" s="80">
        <v>25</v>
      </c>
      <c r="B73" t="s">
        <v>177</v>
      </c>
      <c r="C73" s="75">
        <f>C46</f>
        <v>-1053674.32</v>
      </c>
      <c r="G73" s="88">
        <v>25</v>
      </c>
      <c r="H73" s="81" t="s">
        <v>177</v>
      </c>
      <c r="I73" s="75">
        <f>I46</f>
        <v>63249</v>
      </c>
    </row>
    <row r="74" spans="1:12" x14ac:dyDescent="0.25">
      <c r="A74" s="80">
        <v>26</v>
      </c>
      <c r="B74" t="s">
        <v>96</v>
      </c>
      <c r="C74" s="75">
        <f>C47</f>
        <v>0</v>
      </c>
      <c r="G74" s="88">
        <v>26</v>
      </c>
      <c r="H74" s="81" t="s">
        <v>96</v>
      </c>
      <c r="I74" s="75">
        <f>I47</f>
        <v>0</v>
      </c>
    </row>
    <row r="75" spans="1:12" s="81" customFormat="1" x14ac:dyDescent="0.25">
      <c r="A75" s="161">
        <v>27</v>
      </c>
      <c r="B75" s="81" t="s">
        <v>176</v>
      </c>
      <c r="C75" s="85">
        <f>C56</f>
        <v>246739.48000000007</v>
      </c>
      <c r="G75" s="161">
        <v>27</v>
      </c>
      <c r="H75" s="81" t="s">
        <v>176</v>
      </c>
      <c r="I75" s="85">
        <f>I56</f>
        <v>171897.11999999991</v>
      </c>
    </row>
    <row r="76" spans="1:12" x14ac:dyDescent="0.25">
      <c r="A76" s="161">
        <v>28</v>
      </c>
      <c r="B76" t="s">
        <v>174</v>
      </c>
      <c r="C76" s="75">
        <f>D70</f>
        <v>-49152.239152468726</v>
      </c>
      <c r="G76" s="161">
        <v>28</v>
      </c>
      <c r="H76" s="81" t="s">
        <v>174</v>
      </c>
      <c r="I76" s="75">
        <f>J70</f>
        <v>7106.699304125832</v>
      </c>
    </row>
    <row r="77" spans="1:12" x14ac:dyDescent="0.25">
      <c r="A77" s="161">
        <v>29</v>
      </c>
      <c r="B77" s="81" t="s">
        <v>109</v>
      </c>
      <c r="C77" s="75">
        <f>(D30-D31)*E22-C68</f>
        <v>-40390.455936826991</v>
      </c>
      <c r="G77" s="161">
        <v>29</v>
      </c>
      <c r="H77" s="81" t="s">
        <v>109</v>
      </c>
      <c r="I77" s="75">
        <f>(J30-J31)*K22-I68</f>
        <v>11226.196480645613</v>
      </c>
    </row>
    <row r="78" spans="1:12" x14ac:dyDescent="0.25">
      <c r="A78" s="161">
        <v>30</v>
      </c>
      <c r="B78" t="s">
        <v>108</v>
      </c>
      <c r="C78" s="76">
        <f>SUM(C73:C77)</f>
        <v>-896477.53508929571</v>
      </c>
      <c r="G78" s="161">
        <v>30</v>
      </c>
      <c r="H78" t="s">
        <v>108</v>
      </c>
      <c r="I78" s="76">
        <f>SUM(I73:I77)</f>
        <v>253479.01578477136</v>
      </c>
    </row>
    <row r="79" spans="1:12" x14ac:dyDescent="0.25">
      <c r="A79" s="161">
        <v>31</v>
      </c>
      <c r="B79" s="64" t="s">
        <v>97</v>
      </c>
      <c r="C79" s="75">
        <f>D30*E22</f>
        <v>-896477.53508929536</v>
      </c>
      <c r="G79" s="161">
        <v>31</v>
      </c>
      <c r="H79" s="64" t="s">
        <v>97</v>
      </c>
      <c r="I79" s="75">
        <f>J30*K22</f>
        <v>253479.01578477141</v>
      </c>
    </row>
    <row r="80" spans="1:12" x14ac:dyDescent="0.25">
      <c r="A80" s="161">
        <v>32</v>
      </c>
      <c r="B80" t="s">
        <v>98</v>
      </c>
      <c r="C80" s="75">
        <f>C78-C79</f>
        <v>0</v>
      </c>
      <c r="G80" s="161">
        <v>32</v>
      </c>
      <c r="H80" t="s">
        <v>98</v>
      </c>
      <c r="I80" s="75">
        <f>I78-I79</f>
        <v>0</v>
      </c>
    </row>
  </sheetData>
  <customSheetViews>
    <customSheetView guid="{5C6B1FA1-B621-4699-B8F7-5011E8FF1BCD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0">
    <mergeCell ref="B1:E1"/>
    <mergeCell ref="H1:K1"/>
    <mergeCell ref="B2:E2"/>
    <mergeCell ref="H2:K2"/>
    <mergeCell ref="B3:E3"/>
    <mergeCell ref="H3:K3"/>
    <mergeCell ref="B5:E5"/>
    <mergeCell ref="H5:K5"/>
    <mergeCell ref="B24:C24"/>
    <mergeCell ref="H24:I24"/>
    <mergeCell ref="B25:C25"/>
    <mergeCell ref="H25:I25"/>
    <mergeCell ref="B26:C26"/>
    <mergeCell ref="H26:I26"/>
    <mergeCell ref="B27:C27"/>
    <mergeCell ref="H27:I27"/>
    <mergeCell ref="B35:E35"/>
    <mergeCell ref="H35:K35"/>
    <mergeCell ref="B36:E36"/>
    <mergeCell ref="H36:K36"/>
    <mergeCell ref="B38:E38"/>
    <mergeCell ref="H38:K38"/>
    <mergeCell ref="B39:E39"/>
    <mergeCell ref="H39:K39"/>
    <mergeCell ref="B40:E40"/>
    <mergeCell ref="H40:K40"/>
    <mergeCell ref="B42:E42"/>
    <mergeCell ref="H42:K42"/>
    <mergeCell ref="B43:E43"/>
    <mergeCell ref="H43:K43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useFirstPageNumber="1" r:id="rId5"/>
  <headerFooter scaleWithDoc="0">
    <oddFooter>&amp;CATTACHMENT A&amp;RPage &amp;P of 9</oddFooter>
  </headerFooter>
  <rowBreaks count="1" manualBreakCount="1">
    <brk id="41" max="11" man="1"/>
  </rowBreaks>
  <colBreaks count="1" manualBreakCount="1">
    <brk id="6" max="88" man="1"/>
  </colBreaks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zoomScaleNormal="100" workbookViewId="0">
      <selection activeCell="F31" sqref="F31"/>
    </sheetView>
  </sheetViews>
  <sheetFormatPr defaultRowHeight="15" x14ac:dyDescent="0.25"/>
  <cols>
    <col min="1" max="1" width="4.140625" customWidth="1"/>
    <col min="3" max="3" width="18" customWidth="1"/>
    <col min="4" max="4" width="12.28515625" customWidth="1"/>
    <col min="5" max="5" width="14.7109375" customWidth="1"/>
    <col min="6" max="6" width="17.28515625" customWidth="1"/>
    <col min="7" max="7" width="8.28515625" customWidth="1"/>
    <col min="8" max="8" width="12.42578125" customWidth="1"/>
    <col min="9" max="9" width="16.140625" customWidth="1"/>
    <col min="11" max="11" width="13" customWidth="1"/>
  </cols>
  <sheetData>
    <row r="1" spans="1:11" x14ac:dyDescent="0.25">
      <c r="A1" s="81"/>
      <c r="B1" s="188" t="s">
        <v>0</v>
      </c>
      <c r="C1" s="188"/>
      <c r="D1" s="188"/>
      <c r="E1" s="188"/>
      <c r="F1" s="188"/>
      <c r="G1" s="188"/>
      <c r="H1" s="188"/>
    </row>
    <row r="2" spans="1:11" x14ac:dyDescent="0.25">
      <c r="A2" s="81"/>
      <c r="B2" s="188" t="s">
        <v>116</v>
      </c>
      <c r="C2" s="188"/>
      <c r="D2" s="188"/>
      <c r="E2" s="188"/>
      <c r="F2" s="188"/>
      <c r="G2" s="188"/>
      <c r="H2" s="188"/>
    </row>
    <row r="3" spans="1:11" x14ac:dyDescent="0.25">
      <c r="A3" s="81"/>
      <c r="B3" s="188" t="s">
        <v>188</v>
      </c>
      <c r="C3" s="188"/>
      <c r="D3" s="188"/>
      <c r="E3" s="188"/>
      <c r="F3" s="188"/>
      <c r="G3" s="188"/>
      <c r="H3" s="188"/>
    </row>
    <row r="4" spans="1:11" x14ac:dyDescent="0.25">
      <c r="A4" s="81"/>
      <c r="B4" s="188" t="s">
        <v>187</v>
      </c>
      <c r="C4" s="188"/>
      <c r="D4" s="188"/>
      <c r="E4" s="188"/>
      <c r="F4" s="188"/>
      <c r="G4" s="188"/>
      <c r="H4" s="188"/>
    </row>
    <row r="5" spans="1:11" x14ac:dyDescent="0.25">
      <c r="A5" s="81"/>
    </row>
    <row r="6" spans="1:11" x14ac:dyDescent="0.25">
      <c r="A6" s="81"/>
      <c r="B6" s="188" t="s">
        <v>121</v>
      </c>
      <c r="C6" s="188"/>
      <c r="D6" s="188"/>
      <c r="E6" s="188"/>
      <c r="F6" s="188"/>
      <c r="G6" s="188"/>
      <c r="H6" s="188"/>
    </row>
    <row r="7" spans="1:11" ht="57.6" customHeight="1" x14ac:dyDescent="0.25">
      <c r="A7" s="93" t="s">
        <v>94</v>
      </c>
      <c r="B7" s="88" t="s">
        <v>2</v>
      </c>
      <c r="C7" s="87" t="s">
        <v>117</v>
      </c>
      <c r="D7" s="88" t="s">
        <v>3</v>
      </c>
      <c r="E7" s="88" t="s">
        <v>75</v>
      </c>
      <c r="F7" s="87" t="s">
        <v>118</v>
      </c>
      <c r="G7" s="87" t="s">
        <v>119</v>
      </c>
      <c r="H7" s="87" t="s">
        <v>120</v>
      </c>
    </row>
    <row r="8" spans="1:11" x14ac:dyDescent="0.25">
      <c r="A8" s="81"/>
      <c r="B8" s="81"/>
      <c r="C8" s="81"/>
      <c r="D8" s="81"/>
      <c r="E8" s="81"/>
      <c r="F8" s="81"/>
      <c r="G8" s="81"/>
      <c r="H8" s="81"/>
    </row>
    <row r="9" spans="1:11" x14ac:dyDescent="0.25">
      <c r="A9" s="88">
        <v>1</v>
      </c>
      <c r="B9" s="94">
        <v>43770</v>
      </c>
      <c r="C9" s="147">
        <f>575864+96609-0.23</f>
        <v>672472.77</v>
      </c>
      <c r="D9" s="96">
        <f>ROUND(((C9+C9+E9)/2)*G9/12,2)</f>
        <v>2878.53</v>
      </c>
      <c r="E9" s="95">
        <v>-70320</v>
      </c>
      <c r="F9" s="97">
        <f>C9+D9+E9</f>
        <v>605031.30000000005</v>
      </c>
      <c r="G9" s="98">
        <v>5.4199999999999998E-2</v>
      </c>
      <c r="H9" s="81"/>
      <c r="I9" s="99"/>
      <c r="K9" s="97"/>
    </row>
    <row r="10" spans="1:11" x14ac:dyDescent="0.25">
      <c r="A10" s="88">
        <v>2</v>
      </c>
      <c r="B10" s="94">
        <f>B9+31</f>
        <v>43801</v>
      </c>
      <c r="C10" s="95">
        <f>F9</f>
        <v>605031.30000000005</v>
      </c>
      <c r="D10" s="96">
        <f>ROUND(((C10+C10+E10)/2)*G10/12,2)</f>
        <v>2559.2800000000002</v>
      </c>
      <c r="E10" s="95">
        <v>-76803.399999999994</v>
      </c>
      <c r="F10" s="97">
        <f t="shared" ref="F10:F17" si="0">C10+D10+E10</f>
        <v>530787.18000000005</v>
      </c>
      <c r="G10" s="84">
        <f>G9</f>
        <v>5.4199999999999998E-2</v>
      </c>
      <c r="H10" s="81"/>
      <c r="I10" s="146"/>
    </row>
    <row r="11" spans="1:11" x14ac:dyDescent="0.25">
      <c r="A11" s="88">
        <v>3</v>
      </c>
      <c r="B11" s="94">
        <f t="shared" ref="B11:B17" si="1">B10+31</f>
        <v>43832</v>
      </c>
      <c r="C11" s="95">
        <f t="shared" ref="C11:C17" si="2">F10</f>
        <v>530787.18000000005</v>
      </c>
      <c r="D11" s="96">
        <f t="shared" ref="D11:D17" si="3">ROUND(((C11+C11+E11)/2)*G11/12,2)</f>
        <v>2028.93</v>
      </c>
      <c r="E11" s="95">
        <v>-79833.33</v>
      </c>
      <c r="F11" s="97">
        <f t="shared" si="0"/>
        <v>452982.78000000009</v>
      </c>
      <c r="G11" s="98">
        <v>4.9599999999999998E-2</v>
      </c>
      <c r="H11" s="81"/>
    </row>
    <row r="12" spans="1:11" x14ac:dyDescent="0.25">
      <c r="A12" s="88">
        <v>4</v>
      </c>
      <c r="B12" s="94">
        <f t="shared" si="1"/>
        <v>43863</v>
      </c>
      <c r="C12" s="95">
        <f t="shared" si="2"/>
        <v>452982.78000000009</v>
      </c>
      <c r="D12" s="96">
        <f t="shared" si="3"/>
        <v>1721.31</v>
      </c>
      <c r="E12" s="95">
        <v>-73074.42</v>
      </c>
      <c r="F12" s="97">
        <f t="shared" si="0"/>
        <v>381629.6700000001</v>
      </c>
      <c r="G12" s="84">
        <f>G11</f>
        <v>4.9599999999999998E-2</v>
      </c>
      <c r="H12" s="81"/>
    </row>
    <row r="13" spans="1:11" x14ac:dyDescent="0.25">
      <c r="A13" s="88">
        <v>5</v>
      </c>
      <c r="B13" s="94">
        <f t="shared" si="1"/>
        <v>43894</v>
      </c>
      <c r="C13" s="95">
        <f t="shared" si="2"/>
        <v>381629.6700000001</v>
      </c>
      <c r="D13" s="96">
        <f t="shared" si="3"/>
        <v>1438.54</v>
      </c>
      <c r="E13" s="95">
        <v>-67191.289999999994</v>
      </c>
      <c r="F13" s="97">
        <f t="shared" si="0"/>
        <v>315876.9200000001</v>
      </c>
      <c r="G13" s="84">
        <f>G12</f>
        <v>4.9599999999999998E-2</v>
      </c>
      <c r="H13" s="81"/>
    </row>
    <row r="14" spans="1:11" x14ac:dyDescent="0.25">
      <c r="A14" s="88">
        <v>6</v>
      </c>
      <c r="B14" s="94">
        <f t="shared" si="1"/>
        <v>43925</v>
      </c>
      <c r="C14" s="95">
        <f t="shared" si="2"/>
        <v>315876.9200000001</v>
      </c>
      <c r="D14" s="96">
        <f t="shared" si="3"/>
        <v>1181.3699999999999</v>
      </c>
      <c r="E14" s="95">
        <v>-34849.949999999997</v>
      </c>
      <c r="F14" s="97">
        <f t="shared" si="0"/>
        <v>282208.34000000008</v>
      </c>
      <c r="G14" s="98">
        <v>4.7500000000000001E-2</v>
      </c>
      <c r="H14" s="81"/>
    </row>
    <row r="15" spans="1:11" x14ac:dyDescent="0.25">
      <c r="A15" s="88">
        <v>10</v>
      </c>
      <c r="B15" s="94">
        <f t="shared" si="1"/>
        <v>43956</v>
      </c>
      <c r="C15" s="95">
        <f t="shared" si="2"/>
        <v>282208.34000000008</v>
      </c>
      <c r="D15" s="96">
        <f t="shared" si="3"/>
        <v>1081.1199999999999</v>
      </c>
      <c r="E15" s="99">
        <f>-ROUND(H15*0.00401,2)</f>
        <v>-18164.169999999998</v>
      </c>
      <c r="F15" s="97">
        <f t="shared" si="0"/>
        <v>265125.2900000001</v>
      </c>
      <c r="G15" s="84">
        <f>G14</f>
        <v>4.7500000000000001E-2</v>
      </c>
      <c r="H15" s="71">
        <f>'3 11 20 Forecast Usage by Sched'!M5</f>
        <v>4529718.2890463946</v>
      </c>
    </row>
    <row r="16" spans="1:11" x14ac:dyDescent="0.25">
      <c r="A16" s="88">
        <v>11</v>
      </c>
      <c r="B16" s="94">
        <f t="shared" si="1"/>
        <v>43987</v>
      </c>
      <c r="C16" s="95">
        <f t="shared" si="2"/>
        <v>265125.2900000001</v>
      </c>
      <c r="D16" s="96">
        <f t="shared" si="3"/>
        <v>1026.93</v>
      </c>
      <c r="E16" s="99">
        <f t="shared" ref="E16:E17" si="4">-ROUND(H16*0.00401,2)</f>
        <v>-11380.44</v>
      </c>
      <c r="F16" s="97">
        <f t="shared" si="0"/>
        <v>254771.78000000009</v>
      </c>
      <c r="G16" s="84">
        <f>G15</f>
        <v>4.7500000000000001E-2</v>
      </c>
      <c r="H16" s="71">
        <f>'3 11 20 Forecast Usage by Sched'!M6</f>
        <v>2838014.2602204974</v>
      </c>
    </row>
    <row r="17" spans="1:11" x14ac:dyDescent="0.25">
      <c r="A17" s="88">
        <v>12</v>
      </c>
      <c r="B17" s="94">
        <f t="shared" si="1"/>
        <v>44018</v>
      </c>
      <c r="C17" s="95">
        <f t="shared" si="2"/>
        <v>254771.78000000009</v>
      </c>
      <c r="D17" s="96">
        <f t="shared" si="3"/>
        <v>990.61</v>
      </c>
      <c r="E17" s="99">
        <f t="shared" si="4"/>
        <v>-9022.91</v>
      </c>
      <c r="F17" s="100">
        <f t="shared" si="0"/>
        <v>246739.48000000007</v>
      </c>
      <c r="G17" s="84">
        <f>G16</f>
        <v>4.7500000000000001E-2</v>
      </c>
      <c r="H17" s="71">
        <f>'3 11 20 Forecast Usage by Sched'!M7</f>
        <v>2250101.2759067956</v>
      </c>
    </row>
    <row r="18" spans="1:11" x14ac:dyDescent="0.25">
      <c r="A18" s="81"/>
      <c r="B18" s="81"/>
      <c r="C18" s="81"/>
      <c r="D18" s="81"/>
      <c r="E18" s="81"/>
      <c r="F18" s="81"/>
      <c r="G18" s="81"/>
      <c r="H18" s="81"/>
    </row>
    <row r="19" spans="1:11" x14ac:dyDescent="0.25">
      <c r="A19" s="81"/>
      <c r="B19" s="81"/>
      <c r="C19" s="81"/>
      <c r="D19" s="81"/>
      <c r="E19" s="81"/>
      <c r="F19" s="81"/>
      <c r="G19" s="81"/>
      <c r="H19" s="81"/>
    </row>
    <row r="20" spans="1:11" x14ac:dyDescent="0.25">
      <c r="A20" s="81"/>
      <c r="B20" s="188" t="s">
        <v>122</v>
      </c>
      <c r="C20" s="188"/>
      <c r="D20" s="188"/>
      <c r="E20" s="188"/>
      <c r="F20" s="188"/>
      <c r="G20" s="188"/>
      <c r="H20" s="188"/>
    </row>
    <row r="21" spans="1:11" ht="57.6" customHeight="1" x14ac:dyDescent="0.25">
      <c r="A21" s="93" t="s">
        <v>94</v>
      </c>
      <c r="B21" s="88" t="s">
        <v>2</v>
      </c>
      <c r="C21" s="87" t="s">
        <v>117</v>
      </c>
      <c r="D21" s="88" t="s">
        <v>3</v>
      </c>
      <c r="E21" s="88" t="s">
        <v>75</v>
      </c>
      <c r="F21" s="87" t="s">
        <v>118</v>
      </c>
      <c r="G21" s="87" t="s">
        <v>119</v>
      </c>
      <c r="H21" s="87" t="s">
        <v>120</v>
      </c>
    </row>
    <row r="22" spans="1:11" x14ac:dyDescent="0.25">
      <c r="A22" s="81"/>
      <c r="B22" s="81"/>
      <c r="C22" s="81"/>
      <c r="D22" s="81"/>
      <c r="E22" s="81"/>
      <c r="F22" s="81"/>
      <c r="G22" s="81"/>
      <c r="H22" s="81"/>
    </row>
    <row r="23" spans="1:11" x14ac:dyDescent="0.25">
      <c r="A23" s="88">
        <v>13</v>
      </c>
      <c r="B23" s="94">
        <f t="shared" ref="B23:B31" si="5">B9</f>
        <v>43770</v>
      </c>
      <c r="C23" s="147">
        <f>967385+33652-0.5</f>
        <v>1001036.5</v>
      </c>
      <c r="D23" s="96">
        <f>ROUND(((C23+C23+E23)/2)*G23/12,2)</f>
        <v>4232.62</v>
      </c>
      <c r="E23" s="95">
        <v>-127849.57</v>
      </c>
      <c r="F23" s="97">
        <f>C23+D23+E23</f>
        <v>877419.55</v>
      </c>
      <c r="G23" s="137">
        <f t="shared" ref="G23:G31" si="6">G9</f>
        <v>5.4199999999999998E-2</v>
      </c>
      <c r="H23" s="81"/>
      <c r="I23" s="99"/>
      <c r="J23" s="81"/>
      <c r="K23" s="97"/>
    </row>
    <row r="24" spans="1:11" x14ac:dyDescent="0.25">
      <c r="A24" s="88">
        <v>14</v>
      </c>
      <c r="B24" s="94">
        <f t="shared" si="5"/>
        <v>43801</v>
      </c>
      <c r="C24" s="95">
        <f>F23</f>
        <v>877419.55</v>
      </c>
      <c r="D24" s="96">
        <f t="shared" ref="D24:D28" si="7">ROUND(((C24+C24+E24)/2)*G24/12,2)</f>
        <v>3646.58</v>
      </c>
      <c r="E24" s="95">
        <v>-140117.79</v>
      </c>
      <c r="F24" s="97">
        <f t="shared" ref="F24:F31" si="8">C24+D24+E24</f>
        <v>740948.34</v>
      </c>
      <c r="G24" s="137">
        <f t="shared" si="6"/>
        <v>5.4199999999999998E-2</v>
      </c>
      <c r="H24" s="81"/>
      <c r="I24" s="146"/>
    </row>
    <row r="25" spans="1:11" x14ac:dyDescent="0.25">
      <c r="A25" s="88">
        <v>15</v>
      </c>
      <c r="B25" s="94">
        <f t="shared" si="5"/>
        <v>43832</v>
      </c>
      <c r="C25" s="95">
        <f t="shared" ref="C25:C28" si="9">F24</f>
        <v>740948.34</v>
      </c>
      <c r="D25" s="96">
        <f t="shared" si="7"/>
        <v>2769.89</v>
      </c>
      <c r="E25" s="95">
        <v>-141625.04</v>
      </c>
      <c r="F25" s="97">
        <f t="shared" si="8"/>
        <v>602093.18999999994</v>
      </c>
      <c r="G25" s="137">
        <f t="shared" si="6"/>
        <v>4.9599999999999998E-2</v>
      </c>
      <c r="H25" s="81"/>
    </row>
    <row r="26" spans="1:11" x14ac:dyDescent="0.25">
      <c r="A26" s="88">
        <v>16</v>
      </c>
      <c r="B26" s="94">
        <f t="shared" si="5"/>
        <v>43863</v>
      </c>
      <c r="C26" s="95">
        <f t="shared" si="9"/>
        <v>602093.18999999994</v>
      </c>
      <c r="D26" s="96">
        <f t="shared" si="7"/>
        <v>2202</v>
      </c>
      <c r="E26" s="95">
        <v>-138701.64000000001</v>
      </c>
      <c r="F26" s="97">
        <f t="shared" si="8"/>
        <v>465593.54999999993</v>
      </c>
      <c r="G26" s="137">
        <f t="shared" si="6"/>
        <v>4.9599999999999998E-2</v>
      </c>
      <c r="H26" s="81"/>
    </row>
    <row r="27" spans="1:11" x14ac:dyDescent="0.25">
      <c r="A27" s="88">
        <v>17</v>
      </c>
      <c r="B27" s="94">
        <f t="shared" si="5"/>
        <v>43894</v>
      </c>
      <c r="C27" s="95">
        <f t="shared" si="9"/>
        <v>465593.54999999993</v>
      </c>
      <c r="D27" s="96">
        <f t="shared" si="7"/>
        <v>1663.76</v>
      </c>
      <c r="E27" s="95">
        <v>-126141.67</v>
      </c>
      <c r="F27" s="97">
        <f t="shared" si="8"/>
        <v>341115.63999999996</v>
      </c>
      <c r="G27" s="137">
        <f t="shared" si="6"/>
        <v>4.9599999999999998E-2</v>
      </c>
      <c r="H27" s="81"/>
    </row>
    <row r="28" spans="1:11" x14ac:dyDescent="0.25">
      <c r="A28" s="88">
        <v>18</v>
      </c>
      <c r="B28" s="94">
        <f t="shared" si="5"/>
        <v>43925</v>
      </c>
      <c r="C28" s="95">
        <f t="shared" si="9"/>
        <v>341115.63999999996</v>
      </c>
      <c r="D28" s="96">
        <f t="shared" si="7"/>
        <v>1223.67</v>
      </c>
      <c r="E28" s="95">
        <v>-63954.77</v>
      </c>
      <c r="F28" s="97">
        <f t="shared" si="8"/>
        <v>278384.53999999992</v>
      </c>
      <c r="G28" s="137">
        <f t="shared" si="6"/>
        <v>4.7500000000000001E-2</v>
      </c>
      <c r="H28" s="81"/>
    </row>
    <row r="29" spans="1:11" x14ac:dyDescent="0.25">
      <c r="A29" s="88">
        <v>22</v>
      </c>
      <c r="B29" s="94">
        <f t="shared" si="5"/>
        <v>43956</v>
      </c>
      <c r="C29" s="95">
        <f t="shared" ref="C29:C31" si="10">F28</f>
        <v>278384.53999999992</v>
      </c>
      <c r="D29" s="96">
        <f t="shared" ref="D29:D31" si="11">ROUND(((C29+C29+E29)/2)*G29/12,2)</f>
        <v>1015.79</v>
      </c>
      <c r="E29" s="99">
        <f>-ROUND(H29*0.0176,2)</f>
        <v>-43526.12</v>
      </c>
      <c r="F29" s="97">
        <f t="shared" si="8"/>
        <v>235874.2099999999</v>
      </c>
      <c r="G29" s="137">
        <f t="shared" si="6"/>
        <v>4.7500000000000001E-2</v>
      </c>
      <c r="H29" s="71">
        <f>'3 11 20 Forecast Usage by Sched'!N5</f>
        <v>2473074.9160786793</v>
      </c>
    </row>
    <row r="30" spans="1:11" x14ac:dyDescent="0.25">
      <c r="A30" s="88">
        <v>23</v>
      </c>
      <c r="B30" s="94">
        <f t="shared" si="5"/>
        <v>43987</v>
      </c>
      <c r="C30" s="95">
        <f t="shared" si="10"/>
        <v>235874.2099999999</v>
      </c>
      <c r="D30" s="96">
        <f t="shared" si="11"/>
        <v>870.2</v>
      </c>
      <c r="E30" s="99">
        <f t="shared" ref="E30:E31" si="12">-ROUND(H30*0.0176,2)</f>
        <v>-32066.71</v>
      </c>
      <c r="F30" s="97">
        <f t="shared" si="8"/>
        <v>204677.69999999992</v>
      </c>
      <c r="G30" s="137">
        <f t="shared" si="6"/>
        <v>4.7500000000000001E-2</v>
      </c>
      <c r="H30" s="71">
        <f>'3 11 20 Forecast Usage by Sched'!N6</f>
        <v>1821972.2251937969</v>
      </c>
    </row>
    <row r="31" spans="1:11" x14ac:dyDescent="0.25">
      <c r="A31" s="88">
        <v>24</v>
      </c>
      <c r="B31" s="94">
        <f t="shared" si="5"/>
        <v>44018</v>
      </c>
      <c r="C31" s="95">
        <f t="shared" si="10"/>
        <v>204677.69999999992</v>
      </c>
      <c r="D31" s="96">
        <f t="shared" si="11"/>
        <v>743.83</v>
      </c>
      <c r="E31" s="99">
        <f t="shared" si="12"/>
        <v>-33524.410000000003</v>
      </c>
      <c r="F31" s="100">
        <f t="shared" si="8"/>
        <v>171897.11999999991</v>
      </c>
      <c r="G31" s="137">
        <f t="shared" si="6"/>
        <v>4.7500000000000001E-2</v>
      </c>
      <c r="H31" s="71">
        <f>'3 11 20 Forecast Usage by Sched'!N7</f>
        <v>1904796.296808881</v>
      </c>
    </row>
  </sheetData>
  <mergeCells count="6">
    <mergeCell ref="B1:H1"/>
    <mergeCell ref="B2:H2"/>
    <mergeCell ref="B3:H3"/>
    <mergeCell ref="B6:H6"/>
    <mergeCell ref="B20:H20"/>
    <mergeCell ref="B4:H4"/>
  </mergeCells>
  <pageMargins left="0.7" right="0.7" top="0.75" bottom="0.75" header="0.3" footer="0.3"/>
  <pageSetup scale="93" firstPageNumber="5" orientation="portrait" useFirstPageNumber="1" r:id="rId1"/>
  <headerFooter scaleWithDoc="0">
    <oddFooter>&amp;CATTACHMENT A&amp;RPage 5 of 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67"/>
  <sheetViews>
    <sheetView topLeftCell="A31" zoomScaleNormal="100" workbookViewId="0">
      <selection activeCell="E72" sqref="E72"/>
    </sheetView>
  </sheetViews>
  <sheetFormatPr defaultRowHeight="15" x14ac:dyDescent="0.25"/>
  <cols>
    <col min="1" max="1" width="7.42578125" style="72" customWidth="1"/>
    <col min="2" max="2" width="31.7109375" customWidth="1"/>
    <col min="4" max="4" width="3.28515625" customWidth="1"/>
    <col min="5" max="5" width="15.42578125" customWidth="1"/>
    <col min="6" max="6" width="15.28515625" customWidth="1"/>
    <col min="7" max="7" width="3.42578125" customWidth="1"/>
    <col min="8" max="8" width="1.42578125" hidden="1" customWidth="1"/>
    <col min="9" max="9" width="20.42578125" customWidth="1"/>
    <col min="10" max="10" width="19.42578125" customWidth="1"/>
    <col min="11" max="11" width="16.28515625" customWidth="1"/>
    <col min="12" max="12" width="14" customWidth="1"/>
    <col min="13" max="13" width="15" customWidth="1"/>
    <col min="14" max="14" width="4.5703125" customWidth="1"/>
    <col min="15" max="15" width="25.28515625" customWidth="1"/>
    <col min="16" max="16" width="16.7109375" customWidth="1"/>
    <col min="17" max="17" width="17" customWidth="1"/>
    <col min="18" max="18" width="12.42578125" customWidth="1"/>
    <col min="19" max="19" width="13.5703125" customWidth="1"/>
  </cols>
  <sheetData>
    <row r="1" spans="1:7" x14ac:dyDescent="0.25">
      <c r="B1" s="188" t="s">
        <v>0</v>
      </c>
      <c r="C1" s="188"/>
      <c r="D1" s="188"/>
      <c r="E1" s="188"/>
      <c r="F1" s="188"/>
      <c r="G1" s="188"/>
    </row>
    <row r="2" spans="1:7" x14ac:dyDescent="0.25">
      <c r="B2" s="188" t="s">
        <v>45</v>
      </c>
      <c r="C2" s="188"/>
      <c r="D2" s="188"/>
      <c r="E2" s="188"/>
      <c r="F2" s="188"/>
      <c r="G2" s="188"/>
    </row>
    <row r="3" spans="1:7" x14ac:dyDescent="0.25">
      <c r="B3" s="188" t="s">
        <v>178</v>
      </c>
      <c r="C3" s="188"/>
      <c r="D3" s="188"/>
      <c r="E3" s="188"/>
      <c r="F3" s="188"/>
      <c r="G3" s="188"/>
    </row>
    <row r="5" spans="1:7" x14ac:dyDescent="0.25">
      <c r="B5" s="73" t="s">
        <v>179</v>
      </c>
      <c r="C5" s="73"/>
      <c r="D5" s="73"/>
    </row>
    <row r="7" spans="1:7" x14ac:dyDescent="0.25">
      <c r="A7" s="72" t="s">
        <v>94</v>
      </c>
      <c r="D7" s="72"/>
      <c r="E7" s="35" t="s">
        <v>46</v>
      </c>
      <c r="F7" s="80"/>
      <c r="G7" s="46"/>
    </row>
    <row r="9" spans="1:7" x14ac:dyDescent="0.25">
      <c r="A9" s="72">
        <v>1</v>
      </c>
      <c r="B9" t="s">
        <v>47</v>
      </c>
      <c r="E9" s="41">
        <v>385391000</v>
      </c>
      <c r="F9" s="41"/>
      <c r="G9" s="41"/>
    </row>
    <row r="11" spans="1:7" x14ac:dyDescent="0.25">
      <c r="A11" s="72">
        <v>2</v>
      </c>
      <c r="B11" t="s">
        <v>48</v>
      </c>
      <c r="E11" s="41">
        <v>24030000</v>
      </c>
      <c r="F11" s="41"/>
      <c r="G11" s="41"/>
    </row>
    <row r="13" spans="1:7" x14ac:dyDescent="0.25">
      <c r="A13" s="72">
        <v>3</v>
      </c>
      <c r="B13" t="s">
        <v>49</v>
      </c>
      <c r="E13" s="39">
        <f>E11/E9</f>
        <v>6.2352260431613606E-2</v>
      </c>
      <c r="F13" s="39"/>
      <c r="G13" s="39"/>
    </row>
    <row r="14" spans="1:7" x14ac:dyDescent="0.25">
      <c r="A14" s="72">
        <v>4</v>
      </c>
      <c r="B14" t="s">
        <v>50</v>
      </c>
      <c r="C14" s="81"/>
      <c r="D14" s="39"/>
      <c r="E14" s="39">
        <v>7.4999999999999997E-2</v>
      </c>
      <c r="F14" s="39"/>
      <c r="G14" s="39"/>
    </row>
    <row r="15" spans="1:7" x14ac:dyDescent="0.25">
      <c r="A15" s="72">
        <v>5</v>
      </c>
      <c r="B15" t="s">
        <v>51</v>
      </c>
      <c r="E15" s="40">
        <f>E13-E14</f>
        <v>-1.2647739568386392E-2</v>
      </c>
      <c r="F15" s="40"/>
      <c r="G15" s="40"/>
    </row>
    <row r="17" spans="1:8" x14ac:dyDescent="0.25">
      <c r="A17" s="72">
        <v>6</v>
      </c>
      <c r="B17" t="s">
        <v>52</v>
      </c>
      <c r="E17" s="41">
        <f>IF(E15&gt;0,E9*E15,0)</f>
        <v>0</v>
      </c>
      <c r="F17" s="41"/>
      <c r="G17" s="41"/>
    </row>
    <row r="18" spans="1:8" x14ac:dyDescent="0.25">
      <c r="A18" s="72">
        <v>7</v>
      </c>
      <c r="B18" t="s">
        <v>53</v>
      </c>
      <c r="E18" s="42">
        <f>'Conversion Factors'!E112</f>
        <v>0.755714</v>
      </c>
      <c r="F18" s="42"/>
      <c r="G18" s="42"/>
    </row>
    <row r="19" spans="1:8" x14ac:dyDescent="0.25">
      <c r="A19" s="72">
        <v>8</v>
      </c>
      <c r="B19" t="s">
        <v>54</v>
      </c>
      <c r="E19" s="41">
        <f>E17/E18</f>
        <v>0</v>
      </c>
      <c r="F19" s="41"/>
      <c r="G19" s="41"/>
      <c r="H19" s="41"/>
    </row>
    <row r="20" spans="1:8" ht="15.75" thickBot="1" x14ac:dyDescent="0.3">
      <c r="A20" s="72">
        <v>9</v>
      </c>
      <c r="B20" t="s">
        <v>55</v>
      </c>
      <c r="E20" s="43">
        <v>0.5</v>
      </c>
      <c r="F20" s="43"/>
      <c r="G20" s="43"/>
    </row>
    <row r="21" spans="1:8" ht="16.5" thickTop="1" thickBot="1" x14ac:dyDescent="0.3">
      <c r="A21" s="72">
        <v>10</v>
      </c>
      <c r="B21" t="s">
        <v>180</v>
      </c>
      <c r="E21" s="44">
        <f>E19*E20</f>
        <v>0</v>
      </c>
      <c r="F21" s="52"/>
      <c r="G21" s="52"/>
    </row>
    <row r="22" spans="1:8" ht="15.75" thickTop="1" x14ac:dyDescent="0.25"/>
    <row r="24" spans="1:8" x14ac:dyDescent="0.25">
      <c r="B24" s="73" t="s">
        <v>181</v>
      </c>
      <c r="C24" s="73"/>
      <c r="D24" s="73"/>
      <c r="E24" s="73"/>
      <c r="F24" s="73"/>
      <c r="G24" s="73"/>
    </row>
    <row r="26" spans="1:8" x14ac:dyDescent="0.25">
      <c r="A26" s="72">
        <v>11</v>
      </c>
      <c r="B26" t="s">
        <v>56</v>
      </c>
      <c r="D26" s="39"/>
      <c r="E26" s="63">
        <v>119141053</v>
      </c>
      <c r="F26" s="39">
        <f>E26/E30</f>
        <v>0.75605582577018193</v>
      </c>
    </row>
    <row r="27" spans="1:8" x14ac:dyDescent="0.25">
      <c r="E27" s="64"/>
      <c r="H27" s="39"/>
    </row>
    <row r="28" spans="1:8" x14ac:dyDescent="0.25">
      <c r="A28" s="72">
        <v>12</v>
      </c>
      <c r="B28" t="s">
        <v>57</v>
      </c>
      <c r="D28" s="39"/>
      <c r="E28" s="63">
        <v>38441296</v>
      </c>
      <c r="F28" s="39">
        <f>E28/E30</f>
        <v>0.24394417422981809</v>
      </c>
    </row>
    <row r="29" spans="1:8" x14ac:dyDescent="0.25">
      <c r="H29" s="39"/>
    </row>
    <row r="30" spans="1:8" x14ac:dyDescent="0.25">
      <c r="A30" s="72">
        <v>13</v>
      </c>
      <c r="B30" t="s">
        <v>58</v>
      </c>
      <c r="D30" s="40"/>
      <c r="E30" s="41">
        <f>E26+E28</f>
        <v>157582349</v>
      </c>
      <c r="F30" s="40">
        <f>F26+F28</f>
        <v>1</v>
      </c>
    </row>
    <row r="31" spans="1:8" s="81" customFormat="1" x14ac:dyDescent="0.25">
      <c r="A31" s="83"/>
      <c r="D31" s="84"/>
      <c r="E31" s="85"/>
      <c r="F31" s="84"/>
    </row>
    <row r="32" spans="1:8" x14ac:dyDescent="0.25">
      <c r="E32" s="178" t="s">
        <v>111</v>
      </c>
      <c r="F32" s="178" t="s">
        <v>112</v>
      </c>
      <c r="H32" s="40"/>
    </row>
    <row r="33" spans="1:10" x14ac:dyDescent="0.25">
      <c r="B33" s="47" t="s">
        <v>59</v>
      </c>
      <c r="E33" s="178"/>
      <c r="F33" s="178"/>
    </row>
    <row r="34" spans="1:10" x14ac:dyDescent="0.25">
      <c r="A34" s="72">
        <v>14</v>
      </c>
      <c r="B34" t="s">
        <v>61</v>
      </c>
      <c r="E34" s="41">
        <f>E21*F26</f>
        <v>0</v>
      </c>
      <c r="F34" s="85">
        <f>ROUND(E34*'Conversion Factors'!$E$108,0)</f>
        <v>0</v>
      </c>
    </row>
    <row r="35" spans="1:10" x14ac:dyDescent="0.25">
      <c r="A35" s="72">
        <v>15</v>
      </c>
      <c r="B35" t="s">
        <v>82</v>
      </c>
      <c r="E35" s="41">
        <f>E21*F28</f>
        <v>0</v>
      </c>
      <c r="F35" s="85">
        <f>ROUND(E35*'Conversion Factors'!$E$108,0)</f>
        <v>0</v>
      </c>
    </row>
    <row r="36" spans="1:10" x14ac:dyDescent="0.25">
      <c r="A36" s="72">
        <v>16</v>
      </c>
      <c r="B36" t="s">
        <v>60</v>
      </c>
      <c r="E36" s="45">
        <f>SUM(E34:E35)</f>
        <v>0</v>
      </c>
      <c r="F36" s="45">
        <f>SUM(F34:F35)</f>
        <v>0</v>
      </c>
      <c r="I36" s="85"/>
    </row>
    <row r="38" spans="1:10" ht="32.450000000000003" customHeight="1" x14ac:dyDescent="0.25">
      <c r="A38" s="72" t="s">
        <v>94</v>
      </c>
      <c r="B38" s="74" t="s">
        <v>65</v>
      </c>
      <c r="E38" s="88" t="s">
        <v>113</v>
      </c>
      <c r="F38" s="88" t="s">
        <v>114</v>
      </c>
      <c r="G38" s="88"/>
      <c r="J38" s="102"/>
    </row>
    <row r="39" spans="1:10" s="81" customFormat="1" ht="15" customHeight="1" x14ac:dyDescent="0.25">
      <c r="A39" s="88"/>
      <c r="B39" s="74"/>
      <c r="E39" s="88"/>
      <c r="F39" s="88"/>
      <c r="G39" s="88"/>
    </row>
    <row r="40" spans="1:10" s="81" customFormat="1" ht="30.6" customHeight="1" x14ac:dyDescent="0.25">
      <c r="A40" s="90">
        <v>1</v>
      </c>
      <c r="B40" s="190" t="s">
        <v>182</v>
      </c>
      <c r="C40" s="190"/>
      <c r="D40" s="91"/>
      <c r="E40" s="92">
        <f>E26</f>
        <v>119141053</v>
      </c>
      <c r="F40" s="92">
        <f>E28</f>
        <v>38441296</v>
      </c>
      <c r="G40" s="92"/>
      <c r="J40" s="92"/>
    </row>
    <row r="41" spans="1:10" s="81" customFormat="1" ht="15" customHeight="1" x14ac:dyDescent="0.25">
      <c r="A41" s="88"/>
      <c r="B41" s="74"/>
      <c r="E41" s="88"/>
      <c r="F41" s="88"/>
      <c r="G41" s="88"/>
    </row>
    <row r="42" spans="1:10" ht="15" customHeight="1" x14ac:dyDescent="0.25">
      <c r="A42" s="72">
        <v>2</v>
      </c>
      <c r="B42" t="s">
        <v>183</v>
      </c>
      <c r="E42" s="71">
        <f>'Nat Gas 2020 Rate Calc'!E22</f>
        <v>130872632.85975114</v>
      </c>
      <c r="F42" s="71">
        <f>'Nat Gas 2020 Rate Calc'!K22</f>
        <v>60496185.151496753</v>
      </c>
      <c r="I42" s="81"/>
    </row>
    <row r="43" spans="1:10" ht="15" customHeight="1" x14ac:dyDescent="0.25"/>
    <row r="44" spans="1:10" ht="15" customHeight="1" x14ac:dyDescent="0.25">
      <c r="A44" s="72">
        <v>3</v>
      </c>
      <c r="B44" t="s">
        <v>62</v>
      </c>
      <c r="E44" s="50">
        <f>'Nat Gas 2020 Rate Calc'!D28</f>
        <v>-6.8500000000000002E-3</v>
      </c>
      <c r="F44" s="50">
        <f>'Nat Gas 2020 Rate Calc'!J28</f>
        <v>4.1900000000000001E-3</v>
      </c>
    </row>
    <row r="45" spans="1:10" ht="15" customHeight="1" x14ac:dyDescent="0.25"/>
    <row r="46" spans="1:10" ht="15" customHeight="1" x14ac:dyDescent="0.25">
      <c r="A46" s="72">
        <v>4</v>
      </c>
      <c r="B46" t="s">
        <v>189</v>
      </c>
      <c r="D46" s="64"/>
      <c r="E46" s="50">
        <v>4.1999999999999997E-3</v>
      </c>
      <c r="F46" s="50">
        <v>1.8409999999999999E-2</v>
      </c>
      <c r="I46" s="50"/>
    </row>
    <row r="47" spans="1:10" ht="15" customHeight="1" x14ac:dyDescent="0.25"/>
    <row r="48" spans="1:10" ht="15" customHeight="1" x14ac:dyDescent="0.25">
      <c r="A48" s="72">
        <v>5</v>
      </c>
      <c r="B48" t="s">
        <v>63</v>
      </c>
      <c r="E48" s="50">
        <f>E44-E46</f>
        <v>-1.1050000000000001E-2</v>
      </c>
      <c r="F48" s="50">
        <f>F44-F46</f>
        <v>-1.422E-2</v>
      </c>
    </row>
    <row r="49" spans="1:7" ht="15" customHeight="1" x14ac:dyDescent="0.25"/>
    <row r="50" spans="1:7" ht="15" customHeight="1" x14ac:dyDescent="0.25">
      <c r="A50" s="72">
        <v>6</v>
      </c>
      <c r="B50" t="s">
        <v>64</v>
      </c>
      <c r="E50" s="48">
        <f>E48*E42</f>
        <v>-1446142.5931002502</v>
      </c>
      <c r="F50" s="48">
        <f>F48*F42</f>
        <v>-860255.75285428378</v>
      </c>
      <c r="G50" s="48"/>
    </row>
    <row r="51" spans="1:7" ht="15" customHeight="1" x14ac:dyDescent="0.25">
      <c r="E51" s="48"/>
      <c r="F51" s="48"/>
    </row>
    <row r="52" spans="1:7" ht="15" customHeight="1" x14ac:dyDescent="0.25">
      <c r="A52" s="72">
        <v>7</v>
      </c>
      <c r="B52" t="s">
        <v>66</v>
      </c>
      <c r="E52" s="51">
        <f>E50/E40</f>
        <v>-1.213807127506461E-2</v>
      </c>
      <c r="F52" s="51">
        <f t="shared" ref="F52" si="0">F50/F40</f>
        <v>-2.2378427430081539E-2</v>
      </c>
      <c r="G52" s="51"/>
    </row>
    <row r="53" spans="1:7" ht="15" customHeight="1" x14ac:dyDescent="0.25"/>
    <row r="54" spans="1:7" ht="15" customHeight="1" x14ac:dyDescent="0.25">
      <c r="A54" s="72">
        <v>8</v>
      </c>
      <c r="B54" t="s">
        <v>191</v>
      </c>
      <c r="E54" s="41">
        <f>IF(E52&gt;0.03,E40*0.03-E50,0)</f>
        <v>0</v>
      </c>
      <c r="F54" s="85">
        <f>IF(F52&gt;0.03,F40*0.03-F50,0)</f>
        <v>0</v>
      </c>
    </row>
    <row r="55" spans="1:7" ht="15" customHeight="1" x14ac:dyDescent="0.25"/>
    <row r="56" spans="1:7" ht="15" customHeight="1" x14ac:dyDescent="0.25">
      <c r="A56" s="72">
        <v>9</v>
      </c>
      <c r="B56" t="s">
        <v>67</v>
      </c>
      <c r="E56" s="50">
        <f>ROUND(E54/E42,5)</f>
        <v>0</v>
      </c>
      <c r="F56" s="50">
        <f>ROUND(F54/F42,5)</f>
        <v>0</v>
      </c>
    </row>
    <row r="57" spans="1:7" ht="15" customHeight="1" x14ac:dyDescent="0.25"/>
    <row r="58" spans="1:7" ht="15" customHeight="1" x14ac:dyDescent="0.25">
      <c r="A58" s="72">
        <v>10</v>
      </c>
      <c r="B58" t="s">
        <v>68</v>
      </c>
      <c r="E58" s="50">
        <f>E44+E56</f>
        <v>-6.8500000000000002E-3</v>
      </c>
      <c r="F58" s="50">
        <f>F44+F56</f>
        <v>4.1900000000000001E-3</v>
      </c>
    </row>
    <row r="59" spans="1:7" ht="15" customHeight="1" x14ac:dyDescent="0.25"/>
    <row r="60" spans="1:7" ht="15" customHeight="1" x14ac:dyDescent="0.25">
      <c r="A60" s="72">
        <v>11</v>
      </c>
      <c r="B60" t="s">
        <v>69</v>
      </c>
      <c r="E60" s="48">
        <f>(E58-E46)*E42</f>
        <v>-1446142.5931002502</v>
      </c>
      <c r="F60" s="48">
        <f>(F58-F46)*F42</f>
        <v>-860255.75285428378</v>
      </c>
      <c r="G60" s="53"/>
    </row>
    <row r="61" spans="1:7" ht="15" customHeight="1" x14ac:dyDescent="0.25">
      <c r="E61" s="53"/>
      <c r="F61" s="53"/>
    </row>
    <row r="62" spans="1:7" ht="15" customHeight="1" x14ac:dyDescent="0.25">
      <c r="A62" s="72">
        <v>12</v>
      </c>
      <c r="B62" t="s">
        <v>70</v>
      </c>
      <c r="E62" s="51">
        <f>E60/E40</f>
        <v>-1.213807127506461E-2</v>
      </c>
      <c r="F62" s="51">
        <f t="shared" ref="F62" si="1">F60/F40</f>
        <v>-2.2378427430081539E-2</v>
      </c>
      <c r="G62" s="51"/>
    </row>
    <row r="63" spans="1:7" ht="15" customHeight="1" x14ac:dyDescent="0.25"/>
    <row r="64" spans="1:7" x14ac:dyDescent="0.25">
      <c r="B64" t="s">
        <v>74</v>
      </c>
    </row>
    <row r="65" spans="1:8" ht="38.25" customHeight="1" x14ac:dyDescent="0.25">
      <c r="A65" s="88"/>
      <c r="B65" s="191" t="s">
        <v>184</v>
      </c>
      <c r="C65" s="191"/>
      <c r="D65" s="191"/>
      <c r="E65" s="191"/>
      <c r="F65" s="191"/>
      <c r="G65" s="191"/>
      <c r="H65" s="191"/>
    </row>
    <row r="66" spans="1:8" ht="54.75" customHeight="1" x14ac:dyDescent="0.25">
      <c r="A66" s="88"/>
      <c r="B66" s="189" t="s">
        <v>190</v>
      </c>
      <c r="C66" s="189"/>
      <c r="D66" s="189"/>
      <c r="E66" s="189"/>
      <c r="F66" s="189"/>
      <c r="G66" s="189"/>
      <c r="H66" s="189"/>
    </row>
    <row r="67" spans="1:8" ht="15.75" customHeight="1" x14ac:dyDescent="0.25">
      <c r="B67" s="189"/>
      <c r="C67" s="189"/>
      <c r="D67" s="189"/>
      <c r="E67" s="189"/>
      <c r="F67" s="189"/>
      <c r="G67" s="189"/>
      <c r="H67" s="189"/>
    </row>
  </sheetData>
  <customSheetViews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1"/>
    </customSheetView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2"/>
    </customSheetView>
  </customSheetViews>
  <mergeCells count="9">
    <mergeCell ref="B67:H67"/>
    <mergeCell ref="B66:H66"/>
    <mergeCell ref="B1:G1"/>
    <mergeCell ref="B2:G2"/>
    <mergeCell ref="B3:G3"/>
    <mergeCell ref="E32:E33"/>
    <mergeCell ref="F32:F33"/>
    <mergeCell ref="B40:C40"/>
    <mergeCell ref="B65:H65"/>
  </mergeCells>
  <printOptions horizontalCentered="1"/>
  <pageMargins left="0.7" right="0.7" top="0.75" bottom="0.75" header="0.3" footer="0.3"/>
  <pageSetup scale="95" firstPageNumber="6" orientation="portrait" useFirstPageNumber="1" r:id="rId3"/>
  <headerFooter scaleWithDoc="0">
    <oddFooter>&amp;CATTACHMENT A&amp;RPage &amp;P of 9</oddFooter>
  </headerFooter>
  <rowBreaks count="1" manualBreakCount="1">
    <brk id="3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17"/>
  <sheetViews>
    <sheetView topLeftCell="A89" zoomScaleNormal="100" workbookViewId="0">
      <selection activeCell="I117" sqref="I117"/>
    </sheetView>
  </sheetViews>
  <sheetFormatPr defaultRowHeight="15" x14ac:dyDescent="0.25"/>
  <cols>
    <col min="1" max="1" width="6.5703125" customWidth="1"/>
    <col min="2" max="2" width="2.42578125" customWidth="1"/>
    <col min="3" max="3" width="34.28515625" customWidth="1"/>
    <col min="4" max="4" width="8.85546875" customWidth="1"/>
    <col min="5" max="5" width="12.5703125" customWidth="1"/>
    <col min="6" max="6" width="3" customWidth="1"/>
    <col min="8" max="8" width="12.5703125" bestFit="1" customWidth="1"/>
  </cols>
  <sheetData>
    <row r="1" spans="1:5" hidden="1" x14ac:dyDescent="0.25">
      <c r="A1" s="192" t="s">
        <v>15</v>
      </c>
      <c r="B1" s="192"/>
      <c r="C1" s="192"/>
      <c r="D1" s="192"/>
      <c r="E1" s="192"/>
    </row>
    <row r="2" spans="1:5" ht="14.45" hidden="1" customHeight="1" x14ac:dyDescent="0.25">
      <c r="A2" s="1" t="s">
        <v>16</v>
      </c>
      <c r="B2" s="1"/>
      <c r="C2" s="1"/>
      <c r="D2" s="1"/>
      <c r="E2" s="2"/>
    </row>
    <row r="3" spans="1:5" ht="14.45" hidden="1" customHeight="1" x14ac:dyDescent="0.25">
      <c r="A3" s="1" t="s">
        <v>31</v>
      </c>
      <c r="B3" s="1"/>
      <c r="C3" s="1"/>
      <c r="D3" s="1"/>
      <c r="E3" s="2"/>
    </row>
    <row r="4" spans="1:5" ht="15.6" hidden="1" customHeight="1" x14ac:dyDescent="0.25">
      <c r="A4" s="1" t="s">
        <v>17</v>
      </c>
      <c r="B4" s="1"/>
      <c r="C4" s="1"/>
      <c r="D4" s="1"/>
      <c r="E4" s="2"/>
    </row>
    <row r="5" spans="1:5" hidden="1" x14ac:dyDescent="0.25">
      <c r="A5" s="3"/>
      <c r="B5" s="3"/>
      <c r="C5" s="3"/>
      <c r="D5" s="3"/>
      <c r="E5" s="4"/>
    </row>
    <row r="6" spans="1:5" hidden="1" x14ac:dyDescent="0.25">
      <c r="A6" s="5" t="s">
        <v>18</v>
      </c>
      <c r="B6" s="5"/>
      <c r="C6" s="5"/>
      <c r="D6" s="5"/>
      <c r="E6" s="6"/>
    </row>
    <row r="7" spans="1:5" hidden="1" x14ac:dyDescent="0.25">
      <c r="A7" s="7" t="s">
        <v>19</v>
      </c>
      <c r="B7" s="5"/>
      <c r="C7" s="7" t="s">
        <v>20</v>
      </c>
      <c r="D7" s="8"/>
      <c r="E7" s="9" t="s">
        <v>21</v>
      </c>
    </row>
    <row r="8" spans="1:5" hidden="1" x14ac:dyDescent="0.25">
      <c r="A8" s="3"/>
      <c r="B8" s="3"/>
      <c r="C8" s="3"/>
      <c r="D8" s="3"/>
      <c r="E8" s="4"/>
    </row>
    <row r="9" spans="1:5" hidden="1" x14ac:dyDescent="0.25">
      <c r="A9" s="10">
        <v>1</v>
      </c>
      <c r="B9" s="3"/>
      <c r="C9" s="11" t="s">
        <v>22</v>
      </c>
      <c r="D9" s="3"/>
      <c r="E9" s="12">
        <v>1</v>
      </c>
    </row>
    <row r="10" spans="1:5" hidden="1" x14ac:dyDescent="0.25">
      <c r="A10" s="10"/>
      <c r="B10" s="3"/>
      <c r="C10" s="3"/>
      <c r="D10" s="3"/>
      <c r="E10" s="12"/>
    </row>
    <row r="11" spans="1:5" hidden="1" x14ac:dyDescent="0.25">
      <c r="A11" s="10"/>
      <c r="B11" s="3"/>
      <c r="C11" s="13" t="s">
        <v>23</v>
      </c>
      <c r="D11" s="14"/>
      <c r="E11" s="12"/>
    </row>
    <row r="12" spans="1:5" hidden="1" x14ac:dyDescent="0.25">
      <c r="A12" s="10">
        <v>2</v>
      </c>
      <c r="B12" s="3"/>
      <c r="C12" s="14" t="s">
        <v>24</v>
      </c>
      <c r="D12" s="14"/>
      <c r="E12" s="14">
        <v>4.8500000000000001E-3</v>
      </c>
    </row>
    <row r="13" spans="1:5" hidden="1" x14ac:dyDescent="0.25">
      <c r="A13" s="10"/>
      <c r="B13" s="3"/>
      <c r="C13" s="14"/>
      <c r="D13" s="14"/>
      <c r="E13" s="14"/>
    </row>
    <row r="14" spans="1:5" hidden="1" x14ac:dyDescent="0.25">
      <c r="A14" s="10">
        <v>3</v>
      </c>
      <c r="B14" s="3"/>
      <c r="C14" s="14" t="s">
        <v>25</v>
      </c>
      <c r="D14" s="14"/>
      <c r="E14" s="14">
        <v>2E-3</v>
      </c>
    </row>
    <row r="15" spans="1:5" hidden="1" x14ac:dyDescent="0.25">
      <c r="A15" s="10"/>
      <c r="B15" s="3"/>
      <c r="C15" s="14"/>
      <c r="D15" s="14"/>
      <c r="E15" s="14"/>
    </row>
    <row r="16" spans="1:5" hidden="1" x14ac:dyDescent="0.25">
      <c r="A16" s="10">
        <v>4</v>
      </c>
      <c r="B16" s="3"/>
      <c r="C16" s="14" t="s">
        <v>26</v>
      </c>
      <c r="D16" s="14"/>
      <c r="E16" s="14">
        <v>3.8332999999999999E-2</v>
      </c>
    </row>
    <row r="17" spans="1:5" hidden="1" x14ac:dyDescent="0.25">
      <c r="A17" s="10"/>
      <c r="B17" s="3"/>
      <c r="C17" s="14"/>
      <c r="D17" s="14"/>
      <c r="E17" s="14"/>
    </row>
    <row r="18" spans="1:5" hidden="1" x14ac:dyDescent="0.25">
      <c r="A18" s="10">
        <v>5</v>
      </c>
      <c r="B18" s="3"/>
      <c r="C18" s="14" t="s">
        <v>27</v>
      </c>
      <c r="D18" s="14"/>
      <c r="E18" s="15">
        <f>SUM(E12:E16)</f>
        <v>4.5183000000000001E-2</v>
      </c>
    </row>
    <row r="19" spans="1:5" hidden="1" x14ac:dyDescent="0.25">
      <c r="A19" s="10"/>
      <c r="B19" s="3"/>
      <c r="C19" s="14"/>
      <c r="D19" s="14"/>
      <c r="E19" s="16"/>
    </row>
    <row r="20" spans="1:5" hidden="1" x14ac:dyDescent="0.25">
      <c r="A20" s="10">
        <v>6</v>
      </c>
      <c r="B20" s="3"/>
      <c r="C20" s="14" t="s">
        <v>28</v>
      </c>
      <c r="D20" s="14"/>
      <c r="E20" s="16">
        <f>E9-E18</f>
        <v>0.95481700000000003</v>
      </c>
    </row>
    <row r="21" spans="1:5" hidden="1" x14ac:dyDescent="0.25">
      <c r="A21" s="3"/>
      <c r="B21" s="3"/>
      <c r="C21" s="14"/>
      <c r="D21" s="14"/>
      <c r="E21" s="16"/>
    </row>
    <row r="22" spans="1:5" hidden="1" x14ac:dyDescent="0.25">
      <c r="A22" s="10">
        <v>7</v>
      </c>
      <c r="B22" s="3"/>
      <c r="C22" s="14" t="s">
        <v>29</v>
      </c>
      <c r="D22" s="17"/>
      <c r="E22" s="18">
        <f>ROUND(E20*0.35,6)</f>
        <v>0.33418599999999998</v>
      </c>
    </row>
    <row r="23" spans="1:5" hidden="1" x14ac:dyDescent="0.25">
      <c r="A23" s="3"/>
      <c r="B23" s="3"/>
      <c r="C23" s="14"/>
      <c r="D23" s="14"/>
      <c r="E23" s="16"/>
    </row>
    <row r="24" spans="1:5" ht="15.75" hidden="1" thickBot="1" x14ac:dyDescent="0.3">
      <c r="A24" s="10">
        <v>8</v>
      </c>
      <c r="B24" s="3"/>
      <c r="C24" s="13" t="s">
        <v>30</v>
      </c>
      <c r="D24" s="14"/>
      <c r="E24" s="20">
        <f>ROUND(E20-E22,5)</f>
        <v>0.62063000000000001</v>
      </c>
    </row>
    <row r="25" spans="1:5" hidden="1" x14ac:dyDescent="0.25"/>
    <row r="26" spans="1:5" hidden="1" x14ac:dyDescent="0.25">
      <c r="C26" t="s">
        <v>32</v>
      </c>
    </row>
    <row r="27" spans="1:5" hidden="1" x14ac:dyDescent="0.25">
      <c r="C27" t="s">
        <v>33</v>
      </c>
    </row>
    <row r="28" spans="1:5" hidden="1" x14ac:dyDescent="0.25">
      <c r="C28" t="s">
        <v>44</v>
      </c>
      <c r="E28">
        <f>1/E20</f>
        <v>1.0473211096995549</v>
      </c>
    </row>
    <row r="29" spans="1:5" hidden="1" x14ac:dyDescent="0.25"/>
    <row r="30" spans="1:5" hidden="1" x14ac:dyDescent="0.25">
      <c r="A30" s="192" t="s">
        <v>15</v>
      </c>
      <c r="B30" s="192"/>
      <c r="C30" s="192"/>
      <c r="D30" s="192"/>
      <c r="E30" s="192"/>
    </row>
    <row r="31" spans="1:5" ht="14.45" hidden="1" customHeight="1" x14ac:dyDescent="0.25">
      <c r="A31" s="1" t="s">
        <v>16</v>
      </c>
      <c r="B31" s="1"/>
      <c r="C31" s="1"/>
      <c r="D31" s="1"/>
      <c r="E31" s="2"/>
    </row>
    <row r="32" spans="1:5" ht="14.45" hidden="1" customHeight="1" x14ac:dyDescent="0.25">
      <c r="A32" s="1" t="s">
        <v>31</v>
      </c>
      <c r="B32" s="1"/>
      <c r="C32" s="1"/>
      <c r="D32" s="1"/>
      <c r="E32" s="2"/>
    </row>
    <row r="33" spans="1:5" ht="15.6" hidden="1" customHeight="1" x14ac:dyDescent="0.25">
      <c r="A33" s="1" t="s">
        <v>34</v>
      </c>
      <c r="B33" s="1"/>
      <c r="C33" s="1"/>
      <c r="D33" s="1"/>
      <c r="E33" s="2"/>
    </row>
    <row r="34" spans="1:5" hidden="1" x14ac:dyDescent="0.25">
      <c r="A34" s="3"/>
      <c r="B34" s="3"/>
      <c r="C34" s="3"/>
      <c r="D34" s="3"/>
      <c r="E34" s="4"/>
    </row>
    <row r="35" spans="1:5" hidden="1" x14ac:dyDescent="0.25">
      <c r="A35" s="5" t="s">
        <v>18</v>
      </c>
      <c r="B35" s="5"/>
      <c r="C35" s="5"/>
      <c r="D35" s="5"/>
      <c r="E35" s="6"/>
    </row>
    <row r="36" spans="1:5" hidden="1" x14ac:dyDescent="0.25">
      <c r="A36" s="7" t="s">
        <v>19</v>
      </c>
      <c r="B36" s="5"/>
      <c r="C36" s="7" t="s">
        <v>20</v>
      </c>
      <c r="D36" s="8"/>
      <c r="E36" s="9" t="s">
        <v>21</v>
      </c>
    </row>
    <row r="37" spans="1:5" hidden="1" x14ac:dyDescent="0.25">
      <c r="A37" s="3"/>
      <c r="B37" s="3"/>
      <c r="C37" s="3"/>
      <c r="D37" s="3"/>
      <c r="E37" s="4"/>
    </row>
    <row r="38" spans="1:5" hidden="1" x14ac:dyDescent="0.25">
      <c r="A38" s="10">
        <v>1</v>
      </c>
      <c r="B38" s="3"/>
      <c r="C38" s="11" t="s">
        <v>22</v>
      </c>
      <c r="D38" s="3"/>
      <c r="E38" s="12">
        <v>1</v>
      </c>
    </row>
    <row r="39" spans="1:5" hidden="1" x14ac:dyDescent="0.25">
      <c r="A39" s="10"/>
      <c r="B39" s="3"/>
      <c r="C39" s="3"/>
      <c r="D39" s="3"/>
      <c r="E39" s="12"/>
    </row>
    <row r="40" spans="1:5" hidden="1" x14ac:dyDescent="0.25">
      <c r="A40" s="10"/>
      <c r="B40" s="3"/>
      <c r="C40" s="13" t="s">
        <v>23</v>
      </c>
      <c r="D40" s="14"/>
      <c r="E40" s="12"/>
    </row>
    <row r="41" spans="1:5" hidden="1" x14ac:dyDescent="0.25">
      <c r="A41" s="10">
        <v>2</v>
      </c>
      <c r="B41" s="3"/>
      <c r="C41" s="14" t="s">
        <v>24</v>
      </c>
      <c r="D41" s="14"/>
      <c r="E41" s="14">
        <v>4.4485628026109834E-3</v>
      </c>
    </row>
    <row r="42" spans="1:5" hidden="1" x14ac:dyDescent="0.25">
      <c r="A42" s="10"/>
      <c r="B42" s="3"/>
      <c r="C42" s="14"/>
      <c r="D42" s="14"/>
      <c r="E42" s="14"/>
    </row>
    <row r="43" spans="1:5" hidden="1" x14ac:dyDescent="0.25">
      <c r="A43" s="10">
        <v>3</v>
      </c>
      <c r="B43" s="3"/>
      <c r="C43" s="14" t="s">
        <v>25</v>
      </c>
      <c r="D43" s="14"/>
      <c r="E43" s="14">
        <v>2E-3</v>
      </c>
    </row>
    <row r="44" spans="1:5" hidden="1" x14ac:dyDescent="0.25">
      <c r="A44" s="10"/>
      <c r="B44" s="3"/>
      <c r="C44" s="14"/>
      <c r="D44" s="14"/>
      <c r="E44" s="14"/>
    </row>
    <row r="45" spans="1:5" hidden="1" x14ac:dyDescent="0.25">
      <c r="A45" s="10">
        <v>4</v>
      </c>
      <c r="B45" s="3"/>
      <c r="C45" s="14" t="s">
        <v>26</v>
      </c>
      <c r="D45" s="14"/>
      <c r="E45" s="14">
        <v>3.8348641360843427E-2</v>
      </c>
    </row>
    <row r="46" spans="1:5" hidden="1" x14ac:dyDescent="0.25">
      <c r="A46" s="10"/>
      <c r="B46" s="3"/>
      <c r="C46" s="14"/>
      <c r="D46" s="14"/>
      <c r="E46" s="14"/>
    </row>
    <row r="47" spans="1:5" hidden="1" x14ac:dyDescent="0.25">
      <c r="A47" s="10">
        <v>5</v>
      </c>
      <c r="B47" s="3"/>
      <c r="C47" s="14" t="s">
        <v>35</v>
      </c>
      <c r="D47" s="14"/>
      <c r="E47" s="14">
        <v>0</v>
      </c>
    </row>
    <row r="48" spans="1:5" hidden="1" x14ac:dyDescent="0.25">
      <c r="A48" s="10"/>
      <c r="B48" s="3"/>
      <c r="C48" s="14"/>
      <c r="D48" s="14"/>
      <c r="E48" s="14"/>
    </row>
    <row r="49" spans="1:6" ht="15.75" hidden="1" thickBot="1" x14ac:dyDescent="0.3">
      <c r="A49" s="10">
        <v>6</v>
      </c>
      <c r="B49" s="3"/>
      <c r="C49" s="14" t="s">
        <v>27</v>
      </c>
      <c r="D49" s="14"/>
      <c r="E49" s="21">
        <f>SUM(E41:E47)</f>
        <v>4.479720416345441E-2</v>
      </c>
      <c r="F49" t="s">
        <v>37</v>
      </c>
    </row>
    <row r="50" spans="1:6" hidden="1" x14ac:dyDescent="0.25">
      <c r="A50" s="3"/>
      <c r="B50" s="3"/>
      <c r="C50" s="14"/>
      <c r="D50" s="14"/>
      <c r="E50" s="16"/>
    </row>
    <row r="51" spans="1:6" hidden="1" x14ac:dyDescent="0.25">
      <c r="A51" s="10">
        <v>7</v>
      </c>
      <c r="B51" s="3"/>
      <c r="C51" s="14" t="s">
        <v>28</v>
      </c>
      <c r="D51" s="14"/>
      <c r="E51" s="16">
        <f>E38-E49</f>
        <v>0.95520279583654555</v>
      </c>
    </row>
    <row r="52" spans="1:6" hidden="1" x14ac:dyDescent="0.25">
      <c r="A52" s="3"/>
      <c r="B52" s="3"/>
      <c r="C52" s="14"/>
      <c r="D52" s="14"/>
      <c r="E52" s="16"/>
    </row>
    <row r="53" spans="1:6" hidden="1" x14ac:dyDescent="0.25">
      <c r="A53" s="10">
        <v>8</v>
      </c>
      <c r="B53" s="3"/>
      <c r="C53" s="14" t="s">
        <v>29</v>
      </c>
      <c r="D53" s="17"/>
      <c r="E53" s="18">
        <f>ROUND(E51*0.35,6)</f>
        <v>0.33432099999999998</v>
      </c>
    </row>
    <row r="54" spans="1:6" hidden="1" x14ac:dyDescent="0.25">
      <c r="A54" s="3"/>
      <c r="B54" s="3"/>
      <c r="C54" s="14"/>
      <c r="D54" s="14"/>
      <c r="E54" s="16"/>
    </row>
    <row r="55" spans="1:6" ht="15.75" hidden="1" thickBot="1" x14ac:dyDescent="0.3">
      <c r="A55" s="10">
        <v>9</v>
      </c>
      <c r="B55" s="3"/>
      <c r="C55" s="13" t="s">
        <v>30</v>
      </c>
      <c r="D55" s="14"/>
      <c r="E55" s="20">
        <f>ROUND(E51-E53,5)</f>
        <v>0.62087999999999999</v>
      </c>
    </row>
    <row r="56" spans="1:6" hidden="1" x14ac:dyDescent="0.25">
      <c r="A56" s="19"/>
      <c r="B56" s="19"/>
      <c r="C56" s="19"/>
      <c r="D56" s="19"/>
      <c r="E56" s="19"/>
    </row>
    <row r="57" spans="1:6" hidden="1" x14ac:dyDescent="0.25">
      <c r="C57" t="s">
        <v>32</v>
      </c>
    </row>
    <row r="58" spans="1:6" hidden="1" x14ac:dyDescent="0.25">
      <c r="C58" t="s">
        <v>36</v>
      </c>
    </row>
    <row r="59" spans="1:6" hidden="1" x14ac:dyDescent="0.25">
      <c r="C59" t="s">
        <v>44</v>
      </c>
      <c r="E59">
        <f>1/E51</f>
        <v>1.0468981082956548</v>
      </c>
    </row>
    <row r="60" spans="1:6" hidden="1" x14ac:dyDescent="0.25"/>
    <row r="61" spans="1:6" ht="14.45" hidden="1" customHeight="1" x14ac:dyDescent="0.25">
      <c r="A61" s="22" t="s">
        <v>16</v>
      </c>
      <c r="B61" s="22"/>
      <c r="C61" s="22"/>
      <c r="D61" s="22"/>
      <c r="E61" s="23"/>
    </row>
    <row r="62" spans="1:6" ht="14.45" hidden="1" customHeight="1" x14ac:dyDescent="0.25">
      <c r="A62" s="1" t="s">
        <v>31</v>
      </c>
      <c r="B62" s="1"/>
      <c r="C62" s="1"/>
      <c r="D62" s="1"/>
      <c r="E62" s="2"/>
    </row>
    <row r="63" spans="1:6" ht="15.6" hidden="1" customHeight="1" x14ac:dyDescent="0.25">
      <c r="A63" s="194" t="s">
        <v>38</v>
      </c>
      <c r="B63" s="194"/>
      <c r="C63" s="194"/>
      <c r="D63" s="194"/>
      <c r="E63" s="194"/>
    </row>
    <row r="64" spans="1:6" hidden="1" x14ac:dyDescent="0.25">
      <c r="A64" s="3"/>
      <c r="B64" s="3"/>
      <c r="C64" s="3"/>
      <c r="D64" s="3"/>
      <c r="E64" s="4"/>
    </row>
    <row r="65" spans="1:5" hidden="1" x14ac:dyDescent="0.25">
      <c r="A65" s="5" t="s">
        <v>18</v>
      </c>
      <c r="B65" s="5"/>
      <c r="C65" s="5"/>
      <c r="D65" s="5"/>
      <c r="E65" s="6"/>
    </row>
    <row r="66" spans="1:5" hidden="1" x14ac:dyDescent="0.25">
      <c r="A66" s="7" t="s">
        <v>19</v>
      </c>
      <c r="B66" s="5"/>
      <c r="C66" s="7" t="s">
        <v>20</v>
      </c>
      <c r="D66" s="8"/>
      <c r="E66" s="9" t="s">
        <v>21</v>
      </c>
    </row>
    <row r="67" spans="1:5" hidden="1" x14ac:dyDescent="0.25">
      <c r="A67" s="3"/>
      <c r="B67" s="3"/>
      <c r="C67" s="3"/>
      <c r="D67" s="3"/>
      <c r="E67" s="4"/>
    </row>
    <row r="68" spans="1:5" hidden="1" x14ac:dyDescent="0.25">
      <c r="A68" s="10">
        <v>1</v>
      </c>
      <c r="B68" s="3"/>
      <c r="C68" s="11" t="s">
        <v>22</v>
      </c>
      <c r="D68" s="3"/>
      <c r="E68" s="12">
        <v>1</v>
      </c>
    </row>
    <row r="69" spans="1:5" hidden="1" x14ac:dyDescent="0.25">
      <c r="A69" s="10"/>
      <c r="B69" s="3"/>
      <c r="C69" s="3"/>
      <c r="D69" s="3"/>
      <c r="E69" s="12"/>
    </row>
    <row r="70" spans="1:5" hidden="1" x14ac:dyDescent="0.25">
      <c r="A70" s="10"/>
      <c r="B70" s="3"/>
      <c r="C70" s="13" t="s">
        <v>23</v>
      </c>
      <c r="D70" s="14"/>
      <c r="E70" s="12"/>
    </row>
    <row r="71" spans="1:5" hidden="1" x14ac:dyDescent="0.25">
      <c r="A71" s="10">
        <v>2</v>
      </c>
      <c r="B71" s="3"/>
      <c r="C71" s="14" t="s">
        <v>24</v>
      </c>
      <c r="D71" s="14"/>
      <c r="E71" s="14">
        <v>5.85543782177716E-3</v>
      </c>
    </row>
    <row r="72" spans="1:5" hidden="1" x14ac:dyDescent="0.25">
      <c r="A72" s="10"/>
      <c r="B72" s="3"/>
      <c r="C72" s="14"/>
      <c r="D72" s="14"/>
      <c r="E72" s="14"/>
    </row>
    <row r="73" spans="1:5" hidden="1" x14ac:dyDescent="0.25">
      <c r="A73" s="10">
        <v>3</v>
      </c>
      <c r="B73" s="3"/>
      <c r="C73" s="14" t="s">
        <v>25</v>
      </c>
      <c r="D73" s="14"/>
      <c r="E73" s="14">
        <v>2E-3</v>
      </c>
    </row>
    <row r="74" spans="1:5" hidden="1" x14ac:dyDescent="0.25">
      <c r="A74" s="10"/>
      <c r="B74" s="3"/>
      <c r="C74" s="14"/>
      <c r="D74" s="14"/>
      <c r="E74" s="14"/>
    </row>
    <row r="75" spans="1:5" hidden="1" x14ac:dyDescent="0.25">
      <c r="A75" s="10">
        <v>4</v>
      </c>
      <c r="B75" s="3"/>
      <c r="C75" s="14" t="s">
        <v>26</v>
      </c>
      <c r="D75" s="14"/>
      <c r="E75" s="14">
        <v>3.8294448535105101E-2</v>
      </c>
    </row>
    <row r="76" spans="1:5" hidden="1" x14ac:dyDescent="0.25">
      <c r="A76" s="10"/>
      <c r="B76" s="3"/>
      <c r="C76" s="14"/>
      <c r="D76" s="14"/>
      <c r="E76" s="14"/>
    </row>
    <row r="77" spans="1:5" hidden="1" x14ac:dyDescent="0.25">
      <c r="A77" s="10">
        <v>5</v>
      </c>
      <c r="B77" s="3"/>
      <c r="C77" s="14" t="s">
        <v>27</v>
      </c>
      <c r="D77" s="14"/>
      <c r="E77" s="15">
        <f>SUM(E71:E75)</f>
        <v>4.6149886356882261E-2</v>
      </c>
    </row>
    <row r="78" spans="1:5" hidden="1" x14ac:dyDescent="0.25">
      <c r="A78" s="10"/>
      <c r="B78" s="3"/>
      <c r="C78" s="14"/>
      <c r="D78" s="14"/>
      <c r="E78" s="16"/>
    </row>
    <row r="79" spans="1:5" hidden="1" x14ac:dyDescent="0.25">
      <c r="A79" s="10">
        <v>6</v>
      </c>
      <c r="B79" s="3"/>
      <c r="C79" s="14" t="s">
        <v>28</v>
      </c>
      <c r="D79" s="14"/>
      <c r="E79" s="16">
        <f>E68-E77</f>
        <v>0.95385011364311778</v>
      </c>
    </row>
    <row r="80" spans="1:5" hidden="1" x14ac:dyDescent="0.25">
      <c r="A80" s="3"/>
      <c r="B80" s="3"/>
      <c r="C80" s="14"/>
      <c r="D80" s="14"/>
      <c r="E80" s="16"/>
    </row>
    <row r="81" spans="1:5" hidden="1" x14ac:dyDescent="0.25">
      <c r="A81" s="10">
        <v>7</v>
      </c>
      <c r="B81" s="3"/>
      <c r="C81" s="14" t="s">
        <v>29</v>
      </c>
      <c r="D81" s="17"/>
      <c r="E81" s="18">
        <f>E79*0.35</f>
        <v>0.33384753977509118</v>
      </c>
    </row>
    <row r="82" spans="1:5" hidden="1" x14ac:dyDescent="0.25">
      <c r="A82" s="3"/>
      <c r="B82" s="3"/>
      <c r="C82" s="14"/>
      <c r="D82" s="14"/>
      <c r="E82" s="16"/>
    </row>
    <row r="83" spans="1:5" ht="15.75" hidden="1" thickBot="1" x14ac:dyDescent="0.3">
      <c r="A83" s="10">
        <v>8</v>
      </c>
      <c r="B83" s="3"/>
      <c r="C83" s="13" t="s">
        <v>30</v>
      </c>
      <c r="D83" s="14"/>
      <c r="E83" s="24">
        <f>ROUND(E79-E81,6)</f>
        <v>0.62000299999999997</v>
      </c>
    </row>
    <row r="84" spans="1:5" hidden="1" x14ac:dyDescent="0.25">
      <c r="A84" s="19"/>
      <c r="B84" s="19"/>
      <c r="C84" s="19"/>
      <c r="D84" s="19"/>
      <c r="E84" s="19"/>
    </row>
    <row r="85" spans="1:5" hidden="1" x14ac:dyDescent="0.25">
      <c r="C85" t="s">
        <v>39</v>
      </c>
    </row>
    <row r="86" spans="1:5" hidden="1" x14ac:dyDescent="0.25">
      <c r="C86" t="s">
        <v>36</v>
      </c>
    </row>
    <row r="87" spans="1:5" hidden="1" x14ac:dyDescent="0.25">
      <c r="C87" t="s">
        <v>44</v>
      </c>
      <c r="E87">
        <f>1/E79</f>
        <v>1.0483827445180232</v>
      </c>
    </row>
    <row r="88" spans="1:5" hidden="1" x14ac:dyDescent="0.25"/>
    <row r="89" spans="1:5" ht="15.75" x14ac:dyDescent="0.25">
      <c r="A89" s="193" t="s">
        <v>15</v>
      </c>
      <c r="B89" s="193"/>
      <c r="C89" s="193"/>
      <c r="D89" s="193"/>
      <c r="E89" s="193"/>
    </row>
    <row r="90" spans="1:5" ht="15.75" x14ac:dyDescent="0.25">
      <c r="A90" s="193" t="s">
        <v>16</v>
      </c>
      <c r="B90" s="193"/>
      <c r="C90" s="193"/>
      <c r="D90" s="193"/>
      <c r="E90" s="193"/>
    </row>
    <row r="91" spans="1:5" ht="15.75" x14ac:dyDescent="0.25">
      <c r="A91" s="193" t="s">
        <v>40</v>
      </c>
      <c r="B91" s="193"/>
      <c r="C91" s="193"/>
      <c r="D91" s="193"/>
      <c r="E91" s="193"/>
    </row>
    <row r="92" spans="1:5" ht="15.75" x14ac:dyDescent="0.25">
      <c r="A92" s="193" t="s">
        <v>185</v>
      </c>
      <c r="B92" s="193"/>
      <c r="C92" s="193"/>
      <c r="D92" s="193"/>
      <c r="E92" s="193"/>
    </row>
    <row r="93" spans="1:5" x14ac:dyDescent="0.25">
      <c r="A93" s="3"/>
      <c r="B93" s="3"/>
      <c r="C93" s="25"/>
      <c r="D93" s="14"/>
      <c r="E93" s="4"/>
    </row>
    <row r="94" spans="1:5" x14ac:dyDescent="0.25">
      <c r="A94" s="25" t="s">
        <v>18</v>
      </c>
      <c r="B94" s="3"/>
      <c r="C94" s="25"/>
      <c r="D94" s="14"/>
      <c r="E94" s="25"/>
    </row>
    <row r="95" spans="1:5" x14ac:dyDescent="0.25">
      <c r="A95" s="26" t="s">
        <v>19</v>
      </c>
      <c r="B95" s="3"/>
      <c r="C95" s="26" t="s">
        <v>20</v>
      </c>
      <c r="D95" s="14"/>
      <c r="E95" s="26" t="s">
        <v>21</v>
      </c>
    </row>
    <row r="96" spans="1:5" x14ac:dyDescent="0.25">
      <c r="A96" s="25"/>
      <c r="B96" s="3"/>
      <c r="C96" s="14"/>
      <c r="D96" s="14"/>
      <c r="E96" s="14"/>
    </row>
    <row r="97" spans="1:8" ht="15.75" x14ac:dyDescent="0.25">
      <c r="A97" s="166">
        <v>1</v>
      </c>
      <c r="B97" s="167"/>
      <c r="C97" s="168" t="s">
        <v>22</v>
      </c>
      <c r="D97" s="169"/>
      <c r="E97" s="169">
        <v>1</v>
      </c>
      <c r="F97" s="170"/>
    </row>
    <row r="98" spans="1:8" ht="15.75" x14ac:dyDescent="0.25">
      <c r="A98" s="166"/>
      <c r="B98" s="167"/>
      <c r="C98" s="168"/>
      <c r="D98" s="169"/>
      <c r="E98" s="169"/>
      <c r="F98" s="170"/>
    </row>
    <row r="99" spans="1:8" ht="15.75" x14ac:dyDescent="0.25">
      <c r="A99" s="166"/>
      <c r="B99" s="167"/>
      <c r="C99" s="168" t="s">
        <v>23</v>
      </c>
      <c r="D99" s="169"/>
      <c r="E99" s="169"/>
      <c r="F99" s="170"/>
    </row>
    <row r="100" spans="1:8" ht="15.75" x14ac:dyDescent="0.25">
      <c r="A100" s="166">
        <v>2</v>
      </c>
      <c r="B100" s="171"/>
      <c r="C100" s="169" t="s">
        <v>41</v>
      </c>
      <c r="D100" s="169"/>
      <c r="E100" s="172">
        <v>2.9958510435937236E-3</v>
      </c>
      <c r="F100" s="170"/>
    </row>
    <row r="101" spans="1:8" ht="15.75" x14ac:dyDescent="0.25">
      <c r="A101" s="166"/>
      <c r="B101" s="167"/>
      <c r="C101" s="169"/>
      <c r="D101" s="169"/>
      <c r="E101" s="172"/>
      <c r="F101" s="170"/>
    </row>
    <row r="102" spans="1:8" ht="15.75" x14ac:dyDescent="0.25">
      <c r="A102" s="166">
        <v>3</v>
      </c>
      <c r="B102" s="167"/>
      <c r="C102" s="169" t="s">
        <v>42</v>
      </c>
      <c r="D102" s="169"/>
      <c r="E102" s="172">
        <v>2E-3</v>
      </c>
      <c r="F102" s="170"/>
    </row>
    <row r="103" spans="1:8" ht="15.75" x14ac:dyDescent="0.25">
      <c r="A103" s="166"/>
      <c r="B103" s="167"/>
      <c r="C103" s="169"/>
      <c r="D103" s="169"/>
      <c r="E103" s="172"/>
      <c r="F103" s="170"/>
    </row>
    <row r="104" spans="1:8" ht="15.75" x14ac:dyDescent="0.25">
      <c r="A104" s="166">
        <v>4</v>
      </c>
      <c r="B104" s="167"/>
      <c r="C104" s="169" t="s">
        <v>43</v>
      </c>
      <c r="D104" s="169"/>
      <c r="E104" s="172">
        <v>3.8404599817800769E-2</v>
      </c>
      <c r="F104" s="170"/>
    </row>
    <row r="105" spans="1:8" ht="15.75" x14ac:dyDescent="0.25">
      <c r="A105" s="166"/>
      <c r="B105" s="167"/>
      <c r="C105" s="169"/>
      <c r="D105" s="169"/>
      <c r="E105" s="173"/>
      <c r="F105" s="170"/>
    </row>
    <row r="106" spans="1:8" ht="15.75" x14ac:dyDescent="0.25">
      <c r="A106" s="166">
        <v>5</v>
      </c>
      <c r="B106" s="167"/>
      <c r="C106" s="169" t="s">
        <v>27</v>
      </c>
      <c r="D106" s="169"/>
      <c r="E106" s="174">
        <f>ROUND(SUM(E100:E105),6)</f>
        <v>4.3400000000000001E-2</v>
      </c>
      <c r="F106" s="170"/>
    </row>
    <row r="107" spans="1:8" ht="15.75" x14ac:dyDescent="0.25">
      <c r="A107" s="166"/>
      <c r="B107" s="167"/>
      <c r="C107" s="169"/>
      <c r="D107" s="169"/>
      <c r="E107" s="169"/>
      <c r="F107" s="170"/>
    </row>
    <row r="108" spans="1:8" ht="15.75" x14ac:dyDescent="0.25">
      <c r="A108" s="166">
        <v>6</v>
      </c>
      <c r="B108" s="167"/>
      <c r="C108" s="169" t="s">
        <v>28</v>
      </c>
      <c r="D108" s="169"/>
      <c r="E108" s="169">
        <f>E97-E106</f>
        <v>0.95660000000000001</v>
      </c>
      <c r="F108" s="170"/>
      <c r="H108" s="89"/>
    </row>
    <row r="109" spans="1:8" ht="15.75" x14ac:dyDescent="0.25">
      <c r="A109" s="166"/>
      <c r="B109" s="167"/>
      <c r="C109" s="169"/>
      <c r="D109" s="169"/>
      <c r="E109" s="169"/>
      <c r="F109" s="170"/>
      <c r="H109" s="89"/>
    </row>
    <row r="110" spans="1:8" ht="15.75" x14ac:dyDescent="0.25">
      <c r="A110" s="166">
        <v>7</v>
      </c>
      <c r="B110" s="167"/>
      <c r="C110" s="169" t="s">
        <v>166</v>
      </c>
      <c r="D110" s="175"/>
      <c r="E110" s="169">
        <f>E108*0.21</f>
        <v>0.20088599999999998</v>
      </c>
      <c r="F110" s="170"/>
    </row>
    <row r="111" spans="1:8" ht="15.75" x14ac:dyDescent="0.25">
      <c r="A111" s="167"/>
      <c r="B111" s="167"/>
      <c r="C111" s="169"/>
      <c r="D111" s="169"/>
      <c r="E111" s="169"/>
      <c r="F111" s="170"/>
    </row>
    <row r="112" spans="1:8" ht="16.5" thickBot="1" x14ac:dyDescent="0.3">
      <c r="A112" s="166">
        <v>8</v>
      </c>
      <c r="B112" s="167"/>
      <c r="C112" s="169" t="s">
        <v>30</v>
      </c>
      <c r="D112" s="169"/>
      <c r="E112" s="176">
        <f>ROUND(E108-E110,6)</f>
        <v>0.755714</v>
      </c>
      <c r="F112" s="170"/>
    </row>
    <row r="113" spans="1:5" ht="15.75" thickTop="1" x14ac:dyDescent="0.25"/>
    <row r="114" spans="1:5" x14ac:dyDescent="0.25">
      <c r="A114" s="164">
        <v>9</v>
      </c>
      <c r="B114" s="165"/>
      <c r="C114" s="165" t="s">
        <v>44</v>
      </c>
      <c r="D114" s="165"/>
      <c r="E114" s="165">
        <f>ROUND(1/E108,6)</f>
        <v>1.045369</v>
      </c>
    </row>
    <row r="115" spans="1:5" x14ac:dyDescent="0.25">
      <c r="A115" s="165"/>
      <c r="B115" s="165"/>
      <c r="C115" s="165"/>
      <c r="D115" s="165"/>
      <c r="E115" s="165"/>
    </row>
    <row r="116" spans="1:5" x14ac:dyDescent="0.25">
      <c r="A116" s="165" t="s">
        <v>186</v>
      </c>
      <c r="B116" s="165"/>
      <c r="C116" s="165"/>
      <c r="D116" s="165"/>
      <c r="E116" s="165"/>
    </row>
    <row r="117" spans="1:5" x14ac:dyDescent="0.25">
      <c r="A117" s="165"/>
      <c r="B117" s="165"/>
      <c r="C117" s="165"/>
      <c r="D117" s="165"/>
      <c r="E117" s="165"/>
    </row>
  </sheetData>
  <customSheetViews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7">
    <mergeCell ref="A1:E1"/>
    <mergeCell ref="A30:E30"/>
    <mergeCell ref="A92:E92"/>
    <mergeCell ref="A91:E91"/>
    <mergeCell ref="A90:E90"/>
    <mergeCell ref="A89:E89"/>
    <mergeCell ref="A63:E63"/>
  </mergeCells>
  <printOptions horizontalCentered="1"/>
  <pageMargins left="0.7" right="0.7" top="0.75" bottom="0.75" header="0.3" footer="0.3"/>
  <pageSetup firstPageNumber="8" orientation="portrait" useFirstPageNumber="1" r:id="rId3"/>
  <headerFooter scaleWithDoc="0">
    <oddFooter>&amp;CATTACHMENT A&amp;RPage 8 of  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B1:M43"/>
  <sheetViews>
    <sheetView zoomScaleNormal="100" workbookViewId="0">
      <selection activeCell="M34" sqref="M34"/>
    </sheetView>
  </sheetViews>
  <sheetFormatPr defaultColWidth="8.85546875" defaultRowHeight="15" x14ac:dyDescent="0.25"/>
  <cols>
    <col min="1" max="1" width="2.140625" style="81" customWidth="1"/>
    <col min="2" max="2" width="21.42578125" style="81" customWidth="1"/>
    <col min="3" max="3" width="10.7109375" style="81" customWidth="1"/>
    <col min="4" max="4" width="13.7109375" style="81" customWidth="1"/>
    <col min="5" max="5" width="11.28515625" style="81" customWidth="1"/>
    <col min="6" max="6" width="12.140625" style="81" customWidth="1"/>
    <col min="7" max="7" width="12.85546875" style="81" customWidth="1"/>
    <col min="8" max="8" width="12.7109375" style="81" customWidth="1"/>
    <col min="9" max="10" width="12.28515625" style="81" customWidth="1"/>
    <col min="11" max="11" width="2.5703125" style="81" customWidth="1"/>
    <col min="12" max="12" width="13.28515625" style="81" customWidth="1"/>
    <col min="13" max="13" width="8.140625" style="81" customWidth="1"/>
    <col min="14" max="16384" width="8.85546875" style="81"/>
  </cols>
  <sheetData>
    <row r="1" spans="2:13" x14ac:dyDescent="0.25">
      <c r="B1" s="47" t="s">
        <v>0</v>
      </c>
    </row>
    <row r="2" spans="2:13" x14ac:dyDescent="0.25">
      <c r="B2" s="47" t="s">
        <v>123</v>
      </c>
    </row>
    <row r="3" spans="2:13" x14ac:dyDescent="0.25">
      <c r="B3" s="47" t="s">
        <v>192</v>
      </c>
    </row>
    <row r="4" spans="2:13" x14ac:dyDescent="0.25">
      <c r="B4" s="47" t="s">
        <v>46</v>
      </c>
    </row>
    <row r="6" spans="2:13" x14ac:dyDescent="0.25">
      <c r="D6" s="103" t="s">
        <v>124</v>
      </c>
      <c r="E6" s="103" t="s">
        <v>125</v>
      </c>
      <c r="F6" s="103" t="s">
        <v>126</v>
      </c>
      <c r="G6" s="103" t="s">
        <v>127</v>
      </c>
      <c r="H6" s="103" t="s">
        <v>128</v>
      </c>
      <c r="I6" s="103" t="s">
        <v>128</v>
      </c>
      <c r="J6" s="103" t="s">
        <v>129</v>
      </c>
      <c r="L6" s="103" t="s">
        <v>126</v>
      </c>
    </row>
    <row r="7" spans="2:13" x14ac:dyDescent="0.25">
      <c r="B7" s="106" t="s">
        <v>130</v>
      </c>
      <c r="C7" s="106" t="s">
        <v>131</v>
      </c>
      <c r="D7" s="103" t="s">
        <v>132</v>
      </c>
      <c r="E7" s="103" t="s">
        <v>124</v>
      </c>
      <c r="F7" s="103" t="s">
        <v>124</v>
      </c>
      <c r="G7" s="103" t="s">
        <v>124</v>
      </c>
      <c r="H7" s="103" t="s">
        <v>124</v>
      </c>
      <c r="I7" s="103" t="s">
        <v>124</v>
      </c>
      <c r="J7" s="103" t="s">
        <v>133</v>
      </c>
      <c r="L7" s="103" t="s">
        <v>134</v>
      </c>
    </row>
    <row r="8" spans="2:13" x14ac:dyDescent="0.25">
      <c r="B8" s="107" t="s">
        <v>135</v>
      </c>
      <c r="C8" s="107" t="s">
        <v>136</v>
      </c>
      <c r="D8" s="108" t="s">
        <v>137</v>
      </c>
      <c r="E8" s="108" t="s">
        <v>133</v>
      </c>
      <c r="F8" s="108" t="s">
        <v>138</v>
      </c>
      <c r="G8" s="108" t="s">
        <v>165</v>
      </c>
      <c r="H8" s="108" t="s">
        <v>138</v>
      </c>
      <c r="I8" s="108" t="s">
        <v>133</v>
      </c>
      <c r="J8" s="109" t="s">
        <v>139</v>
      </c>
      <c r="L8" s="110" t="s">
        <v>138</v>
      </c>
    </row>
    <row r="9" spans="2:13" x14ac:dyDescent="0.25">
      <c r="B9" s="106" t="s">
        <v>140</v>
      </c>
      <c r="C9" s="106" t="s">
        <v>141</v>
      </c>
      <c r="D9" s="106" t="s">
        <v>142</v>
      </c>
      <c r="E9" s="106" t="s">
        <v>143</v>
      </c>
      <c r="F9" s="106" t="s">
        <v>144</v>
      </c>
      <c r="G9" s="106" t="s">
        <v>145</v>
      </c>
      <c r="H9" s="106" t="s">
        <v>146</v>
      </c>
      <c r="I9" s="106" t="s">
        <v>147</v>
      </c>
      <c r="J9" s="110" t="s">
        <v>148</v>
      </c>
    </row>
    <row r="10" spans="2:13" x14ac:dyDescent="0.25">
      <c r="B10" s="111"/>
      <c r="C10" s="106"/>
    </row>
    <row r="11" spans="2:13" s="47" customFormat="1" x14ac:dyDescent="0.25">
      <c r="B11" s="139" t="s">
        <v>149</v>
      </c>
      <c r="C11" s="140" t="s">
        <v>150</v>
      </c>
      <c r="D11" s="141">
        <f>SUM('3 11 20 Forecast Usage by Sched'!C8:C19)</f>
        <v>130872632.85975114</v>
      </c>
      <c r="E11" s="114">
        <v>4.1999999999999997E-3</v>
      </c>
      <c r="F11" s="142">
        <f>D11*E11</f>
        <v>549665.05801095476</v>
      </c>
      <c r="G11" s="142">
        <f>H11-F11</f>
        <v>-1446142.5931002502</v>
      </c>
      <c r="H11" s="143">
        <f>D11*I11</f>
        <v>-896477.53508929536</v>
      </c>
      <c r="I11" s="114">
        <f>'Nat Gas 2020 Rate Calc'!D30</f>
        <v>-6.8500000000000002E-3</v>
      </c>
      <c r="J11" s="144">
        <f>ROUND(I11-E11,5)</f>
        <v>-1.1050000000000001E-2</v>
      </c>
      <c r="L11" s="142">
        <v>119141053</v>
      </c>
      <c r="M11" s="51">
        <f>G11/L11</f>
        <v>-1.213807127506461E-2</v>
      </c>
    </row>
    <row r="12" spans="2:13" x14ac:dyDescent="0.25">
      <c r="B12" s="111"/>
      <c r="C12" s="106"/>
      <c r="E12" s="114"/>
      <c r="F12" s="48"/>
      <c r="G12" s="48"/>
      <c r="H12" s="85"/>
      <c r="I12" s="114"/>
      <c r="J12" s="115"/>
      <c r="L12" s="48"/>
      <c r="M12" s="39"/>
    </row>
    <row r="13" spans="2:13" x14ac:dyDescent="0.25">
      <c r="B13" s="111" t="s">
        <v>151</v>
      </c>
      <c r="C13" s="116" t="s">
        <v>168</v>
      </c>
      <c r="D13" s="112">
        <f>SUM('3 11 20 Forecast Usage by Sched'!D8:E19)</f>
        <v>60496185.151496746</v>
      </c>
      <c r="E13" s="148">
        <v>1.8409999999999999E-2</v>
      </c>
      <c r="F13" s="48">
        <f t="shared" ref="F13:F17" si="0">D13*E13</f>
        <v>1113734.7686390551</v>
      </c>
      <c r="G13" s="48">
        <f>H13-F13</f>
        <v>-860255.75285428367</v>
      </c>
      <c r="H13" s="85">
        <f>D13*I13</f>
        <v>253479.01578477139</v>
      </c>
      <c r="I13" s="114">
        <f>'Nat Gas 2020 Rate Calc'!J30</f>
        <v>4.1900000000000001E-3</v>
      </c>
      <c r="J13" s="115">
        <f t="shared" ref="J13:J17" si="1">I13-E13</f>
        <v>-1.422E-2</v>
      </c>
      <c r="L13" s="48">
        <f>36990677+1450619</f>
        <v>38441296</v>
      </c>
      <c r="M13" s="39">
        <f t="shared" ref="M13:M24" si="2">G13/L13</f>
        <v>-2.2378427430081536E-2</v>
      </c>
    </row>
    <row r="14" spans="2:13" customFormat="1" x14ac:dyDescent="0.25"/>
    <row r="15" spans="2:13" ht="30" customHeight="1" x14ac:dyDescent="0.25">
      <c r="B15" s="118" t="s">
        <v>153</v>
      </c>
      <c r="C15" s="119" t="s">
        <v>169</v>
      </c>
      <c r="D15" s="120">
        <f>SUM('3 11 20 Forecast Usage by Sched'!F9:F20)</f>
        <v>0</v>
      </c>
      <c r="E15" s="149">
        <v>1.8409999999999999E-2</v>
      </c>
      <c r="F15" s="121">
        <f t="shared" si="0"/>
        <v>0</v>
      </c>
      <c r="G15" s="121">
        <f>H15-F15</f>
        <v>0</v>
      </c>
      <c r="H15" s="122">
        <f>D15*I15</f>
        <v>0</v>
      </c>
      <c r="I15" s="123">
        <f>I13</f>
        <v>4.1900000000000001E-3</v>
      </c>
      <c r="J15" s="124">
        <f t="shared" si="1"/>
        <v>-1.422E-2</v>
      </c>
      <c r="K15" s="125"/>
      <c r="L15" s="121">
        <v>0</v>
      </c>
      <c r="M15" s="126" t="e">
        <f t="shared" si="2"/>
        <v>#DIV/0!</v>
      </c>
    </row>
    <row r="16" spans="2:13" s="64" customFormat="1" x14ac:dyDescent="0.25">
      <c r="B16" s="150"/>
      <c r="C16" s="151"/>
      <c r="D16" s="152"/>
      <c r="E16" s="153"/>
      <c r="F16" s="154"/>
      <c r="G16" s="154"/>
      <c r="H16" s="155"/>
      <c r="I16" s="156"/>
      <c r="J16" s="157"/>
      <c r="K16" s="158"/>
      <c r="L16" s="154"/>
      <c r="M16" s="159"/>
    </row>
    <row r="17" spans="2:13" x14ac:dyDescent="0.25">
      <c r="B17" s="111" t="s">
        <v>154</v>
      </c>
      <c r="C17" s="116">
        <v>131</v>
      </c>
      <c r="D17" s="120">
        <v>0</v>
      </c>
      <c r="E17" s="148">
        <v>1.8409999999999999E-2</v>
      </c>
      <c r="F17" s="48">
        <f t="shared" si="0"/>
        <v>0</v>
      </c>
      <c r="G17" s="48">
        <f>H17-F17</f>
        <v>0</v>
      </c>
      <c r="H17" s="85">
        <f>D17*I17</f>
        <v>0</v>
      </c>
      <c r="I17" s="114">
        <f>I13</f>
        <v>4.1900000000000001E-3</v>
      </c>
      <c r="J17" s="115">
        <f t="shared" si="1"/>
        <v>-1.422E-2</v>
      </c>
      <c r="L17" s="48">
        <v>0</v>
      </c>
      <c r="M17" s="39">
        <v>0</v>
      </c>
    </row>
    <row r="18" spans="2:13" x14ac:dyDescent="0.25">
      <c r="B18" s="111" t="s">
        <v>154</v>
      </c>
      <c r="C18" s="116">
        <v>132</v>
      </c>
      <c r="D18" s="117" t="s">
        <v>152</v>
      </c>
      <c r="E18" s="113"/>
      <c r="F18" s="48"/>
      <c r="G18" s="48"/>
      <c r="H18" s="85"/>
      <c r="I18" s="114"/>
      <c r="J18" s="115"/>
      <c r="L18" s="48">
        <v>455396</v>
      </c>
      <c r="M18" s="39">
        <f t="shared" ref="M18:M19" si="3">G18/L18</f>
        <v>0</v>
      </c>
    </row>
    <row r="19" spans="2:13" x14ac:dyDescent="0.25">
      <c r="B19" s="111" t="s">
        <v>155</v>
      </c>
      <c r="C19" s="116">
        <v>146</v>
      </c>
      <c r="D19" s="117" t="s">
        <v>152</v>
      </c>
      <c r="E19" s="113"/>
      <c r="F19" s="48"/>
      <c r="G19" s="48"/>
      <c r="H19" s="85"/>
      <c r="I19" s="114"/>
      <c r="J19" s="115"/>
      <c r="L19" s="48">
        <v>3448777</v>
      </c>
      <c r="M19" s="39">
        <f t="shared" si="3"/>
        <v>0</v>
      </c>
    </row>
    <row r="20" spans="2:13" ht="26.25" x14ac:dyDescent="0.25">
      <c r="B20" s="118" t="s">
        <v>156</v>
      </c>
      <c r="C20" s="116">
        <v>148</v>
      </c>
      <c r="D20" s="117" t="s">
        <v>152</v>
      </c>
      <c r="E20" s="113"/>
      <c r="F20" s="48"/>
      <c r="G20" s="48"/>
      <c r="H20" s="85"/>
      <c r="I20" s="114"/>
      <c r="J20" s="115"/>
      <c r="L20" s="48">
        <v>1441933</v>
      </c>
      <c r="M20" s="39">
        <v>0</v>
      </c>
    </row>
    <row r="21" spans="2:13" x14ac:dyDescent="0.25">
      <c r="B21" s="111"/>
      <c r="C21" s="106"/>
      <c r="L21" s="48"/>
      <c r="M21" s="39"/>
    </row>
    <row r="22" spans="2:13" x14ac:dyDescent="0.25">
      <c r="B22" s="127" t="s">
        <v>60</v>
      </c>
      <c r="C22" s="106"/>
      <c r="D22" s="112">
        <f>SUM(D11:D17)</f>
        <v>191368818.01124787</v>
      </c>
      <c r="F22" s="85">
        <f>SUM(F11:F17)</f>
        <v>1663399.82665001</v>
      </c>
      <c r="G22" s="85">
        <f>SUM(G11:G17)</f>
        <v>-2306398.3459545337</v>
      </c>
      <c r="H22" s="85">
        <f>SUM(H11:H17)</f>
        <v>-642998.51930452394</v>
      </c>
      <c r="L22" s="128">
        <f>SUM(L11:L20)</f>
        <v>162928455</v>
      </c>
      <c r="M22" s="39">
        <f t="shared" si="2"/>
        <v>-1.4155896500427341E-2</v>
      </c>
    </row>
    <row r="23" spans="2:13" x14ac:dyDescent="0.25">
      <c r="B23" s="127"/>
      <c r="C23" s="106"/>
      <c r="D23" s="112"/>
      <c r="F23" s="85"/>
      <c r="G23" s="85"/>
      <c r="H23" s="85"/>
      <c r="L23" s="128"/>
      <c r="M23" s="39"/>
    </row>
    <row r="24" spans="2:13" s="47" customFormat="1" x14ac:dyDescent="0.25">
      <c r="B24" s="47" t="s">
        <v>157</v>
      </c>
      <c r="D24" s="141">
        <f>D13+D15+D17</f>
        <v>60496185.151496746</v>
      </c>
      <c r="F24" s="143">
        <f>F13+F15+F17</f>
        <v>1113734.7686390551</v>
      </c>
      <c r="G24" s="143">
        <f>G13+G15+G17</f>
        <v>-860255.75285428367</v>
      </c>
      <c r="H24" s="143">
        <f t="shared" ref="H24" si="4">H13+H15+H17</f>
        <v>253479.01578477139</v>
      </c>
      <c r="L24" s="143">
        <f t="shared" ref="L24" si="5">L13+L15+L17</f>
        <v>38441296</v>
      </c>
      <c r="M24" s="51">
        <f t="shared" si="2"/>
        <v>-2.2378427430081536E-2</v>
      </c>
    </row>
    <row r="26" spans="2:13" x14ac:dyDescent="0.25">
      <c r="B26"/>
      <c r="C26"/>
      <c r="D26"/>
      <c r="E26"/>
      <c r="G26" s="39"/>
      <c r="H26" s="103" t="s">
        <v>158</v>
      </c>
      <c r="J26" s="160" t="s">
        <v>194</v>
      </c>
      <c r="K26" s="129"/>
    </row>
    <row r="27" spans="2:13" x14ac:dyDescent="0.25">
      <c r="B27"/>
      <c r="C27"/>
      <c r="D27"/>
      <c r="E27"/>
      <c r="G27" s="130"/>
      <c r="H27" s="131" t="s">
        <v>159</v>
      </c>
      <c r="I27" s="132">
        <v>9.5</v>
      </c>
      <c r="J27" s="132">
        <f>I27</f>
        <v>9.5</v>
      </c>
      <c r="K27" s="129"/>
      <c r="L27" s="97"/>
    </row>
    <row r="28" spans="2:13" x14ac:dyDescent="0.25">
      <c r="B28"/>
      <c r="C28"/>
      <c r="D28"/>
      <c r="E28"/>
      <c r="G28" s="39"/>
      <c r="H28" s="131" t="s">
        <v>160</v>
      </c>
      <c r="I28" s="50">
        <v>0.71111000000000002</v>
      </c>
      <c r="J28" s="138">
        <f>ROUND(66*I28,2)</f>
        <v>46.93</v>
      </c>
    </row>
    <row r="29" spans="2:13" x14ac:dyDescent="0.25">
      <c r="B29"/>
      <c r="C29"/>
      <c r="D29"/>
      <c r="E29"/>
      <c r="H29" s="131" t="s">
        <v>161</v>
      </c>
      <c r="I29" s="50">
        <v>0.83409</v>
      </c>
      <c r="J29" s="132">
        <f>ROUND(0*I29,2)</f>
        <v>0</v>
      </c>
    </row>
    <row r="30" spans="2:13" x14ac:dyDescent="0.25">
      <c r="B30"/>
      <c r="C30"/>
      <c r="D30"/>
      <c r="E30"/>
      <c r="H30" s="103" t="s">
        <v>193</v>
      </c>
      <c r="J30" s="133">
        <f>SUM(J27:J29)</f>
        <v>56.43</v>
      </c>
    </row>
    <row r="31" spans="2:13" x14ac:dyDescent="0.25">
      <c r="B31"/>
      <c r="C31"/>
      <c r="D31"/>
      <c r="E31"/>
      <c r="H31" s="131" t="s">
        <v>162</v>
      </c>
      <c r="I31" s="115">
        <f>J11</f>
        <v>-1.1050000000000001E-2</v>
      </c>
      <c r="J31" s="132">
        <f>ROUND(I31*66,2)</f>
        <v>-0.73</v>
      </c>
    </row>
    <row r="32" spans="2:13" x14ac:dyDescent="0.25">
      <c r="B32"/>
      <c r="C32"/>
      <c r="D32"/>
      <c r="E32"/>
      <c r="H32" s="103" t="s">
        <v>163</v>
      </c>
      <c r="J32" s="133">
        <f>J30+J31</f>
        <v>55.7</v>
      </c>
    </row>
    <row r="33" spans="2:12" x14ac:dyDescent="0.25">
      <c r="B33"/>
      <c r="C33"/>
      <c r="D33"/>
      <c r="E33"/>
      <c r="H33" s="103" t="s">
        <v>167</v>
      </c>
      <c r="J33" s="39">
        <f>J31/J30</f>
        <v>-1.2936381357433989E-2</v>
      </c>
      <c r="L33" s="129"/>
    </row>
    <row r="34" spans="2:12" x14ac:dyDescent="0.25">
      <c r="B34"/>
      <c r="C34"/>
      <c r="D34"/>
      <c r="E34"/>
      <c r="J34" s="134"/>
    </row>
    <row r="35" spans="2:12" x14ac:dyDescent="0.25">
      <c r="B35"/>
      <c r="C35"/>
      <c r="D35"/>
      <c r="E35"/>
      <c r="J35" s="134"/>
    </row>
    <row r="36" spans="2:12" x14ac:dyDescent="0.25">
      <c r="B36"/>
      <c r="C36"/>
      <c r="D36"/>
      <c r="E36"/>
      <c r="J36" s="97"/>
    </row>
    <row r="37" spans="2:12" x14ac:dyDescent="0.25">
      <c r="B37"/>
      <c r="C37"/>
      <c r="D37"/>
      <c r="E37"/>
      <c r="L37" s="39"/>
    </row>
    <row r="38" spans="2:12" x14ac:dyDescent="0.25">
      <c r="B38"/>
      <c r="C38"/>
      <c r="D38"/>
      <c r="E38"/>
    </row>
    <row r="39" spans="2:12" x14ac:dyDescent="0.25">
      <c r="B39"/>
      <c r="C39"/>
      <c r="D39"/>
      <c r="E39"/>
    </row>
    <row r="40" spans="2:12" x14ac:dyDescent="0.25">
      <c r="B40"/>
      <c r="C40"/>
      <c r="D40"/>
      <c r="E40"/>
    </row>
    <row r="41" spans="2:12" x14ac:dyDescent="0.25">
      <c r="B41"/>
      <c r="C41"/>
      <c r="D41"/>
      <c r="E41"/>
    </row>
    <row r="42" spans="2:12" x14ac:dyDescent="0.25">
      <c r="B42"/>
      <c r="C42"/>
      <c r="D42"/>
      <c r="E42"/>
    </row>
    <row r="43" spans="2:12" x14ac:dyDescent="0.25">
      <c r="B43"/>
      <c r="C43"/>
      <c r="D43"/>
      <c r="E43"/>
    </row>
  </sheetData>
  <printOptions horizontalCentered="1"/>
  <pageMargins left="0.45" right="0.45" top="0.75" bottom="0.75" header="0.3" footer="0.55000000000000004"/>
  <pageSetup scale="75" firstPageNumber="9" orientation="landscape" useFirstPageNumber="1" r:id="rId1"/>
  <headerFooter scaleWithDoc="0">
    <oddFooter>&amp;CATTACHMENT A&amp;RPage 9 of 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7AC59BC3751B44A2A0F4C1055639CF" ma:contentTypeVersion="52" ma:contentTypeDescription="" ma:contentTypeScope="" ma:versionID="91b2533b8213f9566a7887867a13e11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2020-05-29T07:00:00+00:00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200499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7AA63E-DE0E-42AF-B2B8-FD1BE431D457}"/>
</file>

<file path=customXml/itemProps2.xml><?xml version="1.0" encoding="utf-8"?>
<ds:datastoreItem xmlns:ds="http://schemas.openxmlformats.org/officeDocument/2006/customXml" ds:itemID="{4FF86516-3D95-40C9-A265-907D9B9A78D5}"/>
</file>

<file path=customXml/itemProps3.xml><?xml version="1.0" encoding="utf-8"?>
<ds:datastoreItem xmlns:ds="http://schemas.openxmlformats.org/officeDocument/2006/customXml" ds:itemID="{82B746EF-6757-4A9B-8B10-52A93F716F35}"/>
</file>

<file path=customXml/itemProps4.xml><?xml version="1.0" encoding="utf-8"?>
<ds:datastoreItem xmlns:ds="http://schemas.openxmlformats.org/officeDocument/2006/customXml" ds:itemID="{71D5910A-A91E-4349-997E-B15CFB6DB1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3 11 20 Forecast Usage by Sched</vt:lpstr>
      <vt:lpstr>Nat Gas 2020 Rate Calc</vt:lpstr>
      <vt:lpstr>Prior Year Amortization</vt:lpstr>
      <vt:lpstr>Earnings Test and 3% Test</vt:lpstr>
      <vt:lpstr>Conversion Factors</vt:lpstr>
      <vt:lpstr>Bill Impact</vt:lpstr>
      <vt:lpstr>'Conversion Factors'!Print_Area</vt:lpstr>
      <vt:lpstr>'Earnings Test and 3% Test'!Print_Area</vt:lpstr>
      <vt:lpstr>'Nat Gas 2020 Rate Calc'!Print_Area</vt:lpstr>
      <vt:lpstr>'Prior Year Amortization'!Print_Area</vt:lpstr>
      <vt:lpstr>'Earnings Test and 3% Test'!Print_Titles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2020-05-22T22:18:51Z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0x0101006E56B4D1795A2E4DB2F0B01679ED314A00677AC59BC3751B44A2A0F4C1055639CF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