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firstSheet="1" activeTab="3"/>
  </bookViews>
  <sheets>
    <sheet name="Power Supply Normalization" sheetId="6" r:id="rId1"/>
    <sheet name="Capital Structure" sheetId="5" r:id="rId2"/>
    <sheet name="Earnings Test Differences" sheetId="2" r:id="rId3"/>
    <sheet name="Earnings Test Calculation" sheetId="4" r:id="rId4"/>
  </sheets>
  <definedNames>
    <definedName name="_xlnm.Print_Area" localSheetId="3">'Earnings Test Calculation'!$A$1:$G$43</definedName>
    <definedName name="_xlnm.Print_Area" localSheetId="0">'Power Supply Normalization'!$A$1:$J$46</definedName>
    <definedName name="_xlnm.Print_Titles" localSheetId="0">'Power Supply Normalization'!$A:$A</definedName>
  </definedNames>
  <calcPr calcId="152511"/>
</workbook>
</file>

<file path=xl/calcChain.xml><?xml version="1.0" encoding="utf-8"?>
<calcChain xmlns="http://schemas.openxmlformats.org/spreadsheetml/2006/main">
  <c r="E39" i="4" l="1"/>
  <c r="G39" i="4"/>
  <c r="E34" i="4"/>
  <c r="E33" i="4"/>
  <c r="N18" i="4" l="1"/>
  <c r="N20" i="4" s="1"/>
  <c r="M18" i="4"/>
  <c r="M20" i="4" s="1"/>
  <c r="N22" i="4" l="1"/>
  <c r="N24" i="4" s="1"/>
  <c r="F19" i="4" s="1"/>
  <c r="M22" i="4"/>
  <c r="M24" i="4" s="1"/>
  <c r="D19" i="4" s="1"/>
  <c r="F34" i="6" l="1"/>
  <c r="D34" i="6"/>
  <c r="E31" i="6"/>
  <c r="G43" i="6"/>
  <c r="G39" i="6"/>
  <c r="G38" i="6"/>
  <c r="G34" i="6"/>
  <c r="C34" i="6"/>
  <c r="E43" i="6"/>
  <c r="C43" i="6"/>
  <c r="E39" i="6"/>
  <c r="C39" i="6"/>
  <c r="E38" i="6"/>
  <c r="C38" i="6"/>
  <c r="E32" i="6"/>
  <c r="E34" i="6" s="1"/>
  <c r="E30" i="6"/>
  <c r="E26" i="6"/>
  <c r="C32" i="6"/>
  <c r="C31" i="6"/>
  <c r="C23" i="6"/>
  <c r="C22" i="6"/>
  <c r="C21" i="6"/>
  <c r="C9" i="6"/>
  <c r="C10" i="6"/>
  <c r="C11" i="6"/>
  <c r="C12" i="6"/>
  <c r="C13" i="6"/>
  <c r="C14" i="6"/>
  <c r="C8" i="6"/>
  <c r="F28" i="2" l="1"/>
  <c r="D28" i="2"/>
  <c r="E19" i="6" l="1"/>
  <c r="E21" i="6" s="1"/>
  <c r="E25" i="6" s="1"/>
  <c r="D37" i="5"/>
  <c r="D39" i="5" s="1"/>
  <c r="G36" i="5"/>
  <c r="F35" i="5"/>
  <c r="D21" i="5"/>
  <c r="F19" i="5"/>
  <c r="F17" i="5"/>
  <c r="D10" i="5"/>
  <c r="F8" i="5"/>
  <c r="F6" i="5"/>
  <c r="G7" i="5" s="1"/>
  <c r="F21" i="5" l="1"/>
  <c r="G18" i="5"/>
  <c r="G19" i="6"/>
  <c r="G21" i="6" s="1"/>
  <c r="J38" i="6"/>
  <c r="J43" i="6"/>
  <c r="G40" i="6"/>
  <c r="J39" i="6"/>
  <c r="E40" i="6"/>
  <c r="F37" i="5"/>
  <c r="F39" i="5" s="1"/>
  <c r="F10" i="5"/>
  <c r="J40" i="6" l="1"/>
  <c r="G25" i="6"/>
  <c r="G42" i="6" s="1"/>
  <c r="G44" i="6" s="1"/>
  <c r="G46" i="6" s="1"/>
  <c r="C25" i="6"/>
  <c r="C27" i="6" s="1"/>
  <c r="C30" i="6"/>
  <c r="C19" i="6"/>
  <c r="E42" i="6"/>
  <c r="I38" i="6" l="1"/>
  <c r="I39" i="6"/>
  <c r="E44" i="6"/>
  <c r="E46" i="6" s="1"/>
  <c r="J42" i="6"/>
  <c r="J44" i="6" s="1"/>
  <c r="J46" i="6" s="1"/>
  <c r="I43" i="6"/>
  <c r="C40" i="6" l="1"/>
  <c r="C42" i="6" s="1"/>
  <c r="I40" i="6"/>
  <c r="I42" i="6" l="1"/>
  <c r="I44" i="6" s="1"/>
  <c r="I46" i="6" s="1"/>
  <c r="C44" i="6"/>
  <c r="C46" i="6" s="1"/>
  <c r="F26" i="2" l="1"/>
  <c r="F30" i="2" s="1"/>
  <c r="F32" i="2" s="1"/>
  <c r="D26" i="2"/>
  <c r="D30" i="2" s="1"/>
  <c r="D32" i="2" s="1"/>
  <c r="F14" i="4" l="1"/>
  <c r="F16" i="4" s="1"/>
  <c r="D14" i="4"/>
  <c r="D16" i="4" s="1"/>
  <c r="D18" i="4" s="1"/>
  <c r="D20" i="4" s="1"/>
  <c r="D22" i="4" s="1"/>
  <c r="F18" i="4" l="1"/>
  <c r="F20" i="4" s="1"/>
  <c r="F22" i="4" s="1"/>
  <c r="F30" i="4"/>
  <c r="G26" i="4" s="1"/>
  <c r="D30" i="4"/>
  <c r="E26" i="4" s="1"/>
  <c r="D33" i="4" s="1"/>
  <c r="F33" i="4" l="1"/>
  <c r="G33" i="4" s="1"/>
  <c r="E28" i="4"/>
  <c r="D34" i="4" s="1"/>
  <c r="G28" i="4"/>
  <c r="F34" i="4" s="1"/>
  <c r="G34" i="4" s="1"/>
  <c r="D35" i="4" l="1"/>
  <c r="E35" i="4"/>
  <c r="G35" i="4"/>
  <c r="E30" i="4"/>
  <c r="F35" i="4"/>
  <c r="G30" i="4"/>
</calcChain>
</file>

<file path=xl/comments1.xml><?xml version="1.0" encoding="utf-8"?>
<comments xmlns="http://schemas.openxmlformats.org/spreadsheetml/2006/main">
  <authors>
    <author>Author</author>
  </authors>
  <commentList>
    <comment ref="C29" authorId="0" shapeId="0">
      <text>
        <r>
          <rPr>
            <b/>
            <sz val="9"/>
            <color indexed="81"/>
            <rFont val="Tahoma"/>
            <family val="2"/>
          </rPr>
          <t>tlk:</t>
        </r>
        <r>
          <rPr>
            <sz val="9"/>
            <color indexed="81"/>
            <rFont val="Tahoma"/>
            <family val="2"/>
          </rPr>
          <t xml:space="preserve">
Actual MWhs Sold per Form 1 State Supplement page 300-301 column (d) line (10)</t>
        </r>
      </text>
    </comment>
  </commentList>
</comments>
</file>

<file path=xl/sharedStrings.xml><?xml version="1.0" encoding="utf-8"?>
<sst xmlns="http://schemas.openxmlformats.org/spreadsheetml/2006/main" count="179" uniqueCount="143">
  <si>
    <t>Decoupling Earnings Test</t>
  </si>
  <si>
    <t>Power Supply Normalization</t>
  </si>
  <si>
    <t>Normalize ERM Accounts to Allowed System Amounts Adjusted for Actual Loads</t>
  </si>
  <si>
    <t>Account 555 - Purchased Power</t>
  </si>
  <si>
    <t>Account 501 - Thermal Fuel</t>
  </si>
  <si>
    <t>Account 547 - Natural Gas Fuel</t>
  </si>
  <si>
    <t>Account 447 - Sales for Resale</t>
  </si>
  <si>
    <t>Account 565 - Transmission Expense</t>
  </si>
  <si>
    <t>Account 456 - Transmission Revenue</t>
  </si>
  <si>
    <t>Account 557 - Broker Fees</t>
  </si>
  <si>
    <t>Production/Transmission Ratio</t>
  </si>
  <si>
    <t>Washington Allocation</t>
  </si>
  <si>
    <t>Washington Authorized Sales (MWhs)</t>
  </si>
  <si>
    <t>Retail Revenue Credit at Authorized Sales</t>
  </si>
  <si>
    <t>Actual  Sales (MWhs)</t>
  </si>
  <si>
    <t>Load Difference</t>
  </si>
  <si>
    <t>CB Load Change Adjustment to Authorized</t>
  </si>
  <si>
    <t>Normalized Power Supply Cost</t>
  </si>
  <si>
    <t xml:space="preserve">ERM Accounts </t>
  </si>
  <si>
    <t>Retail Revenue Adjustment rate for Incremental Sales</t>
  </si>
  <si>
    <t>Actual</t>
  </si>
  <si>
    <t>Account 557 - Resource Opt Expense</t>
  </si>
  <si>
    <t>Account 456 - Resource Opt Revenue</t>
  </si>
  <si>
    <t>Total Washington ERM Cost</t>
  </si>
  <si>
    <t>Adjustment by Account Category</t>
  </si>
  <si>
    <t>Sales for Resale Revenue</t>
  </si>
  <si>
    <t>Other Operating Revenue</t>
  </si>
  <si>
    <t>Total Revenue</t>
  </si>
  <si>
    <t>Production &amp; Transmission Operating Expense</t>
  </si>
  <si>
    <t>Purchased Power</t>
  </si>
  <si>
    <t>Total Production &amp; Transmission Expense</t>
  </si>
  <si>
    <t>Income Before Tax</t>
  </si>
  <si>
    <t>Normalized</t>
  </si>
  <si>
    <t>Adjustment</t>
  </si>
  <si>
    <t>WA Decoupling Earnings Test</t>
  </si>
  <si>
    <t>Account 449100</t>
  </si>
  <si>
    <t>Account 456 - REC Sales</t>
  </si>
  <si>
    <t>Washington EIA REC Purchase/Sales</t>
  </si>
  <si>
    <t>Electric</t>
  </si>
  <si>
    <t>Natural Gas</t>
  </si>
  <si>
    <t>No adjustment to Gas Supply is necessary as cost of gas is 100% normalized through the gas cost deferral which is the amount accounted for by the decoupling mechanism.</t>
  </si>
  <si>
    <t>3.00</t>
  </si>
  <si>
    <t>Eliminate Weather Adjustment</t>
  </si>
  <si>
    <t>3.01</t>
  </si>
  <si>
    <t>Eliminate Provision for Earnings Test Refund</t>
  </si>
  <si>
    <t>Purpose of the Earnings Test is to determine sharing, it is necessary to eliminate the Provision for Rate Refund associated with the Company's estimate of the Decoupling Earnings Test Sharing</t>
  </si>
  <si>
    <t>Decoupling Normalized Power Cost</t>
  </si>
  <si>
    <t>3.02</t>
  </si>
  <si>
    <t>Adjustment Differences from WAC-480-100-257 and WAC-480-90-257 filings</t>
  </si>
  <si>
    <t>Commission Basis</t>
  </si>
  <si>
    <t>Earnings Tests</t>
  </si>
  <si>
    <t>Adjusted Actual</t>
  </si>
  <si>
    <t>Earnings Test PS</t>
  </si>
  <si>
    <t>Earnings Test Normalized</t>
  </si>
  <si>
    <t>Provision For Rate Refund</t>
  </si>
  <si>
    <t>Earnings Test does not include an adjustment for normal weather as the decoupling mechanism captures usage associated with weather.  Reverse Commission Basis Adjustment 2.10</t>
  </si>
  <si>
    <t>Avista Utilities</t>
  </si>
  <si>
    <t>Rate Base</t>
  </si>
  <si>
    <t>Net Income</t>
  </si>
  <si>
    <t xml:space="preserve">Calculated ROR </t>
  </si>
  <si>
    <t xml:space="preserve">Base ROR </t>
  </si>
  <si>
    <t>Excess ROR</t>
  </si>
  <si>
    <t>Excess Earnings</t>
  </si>
  <si>
    <t>Conversion Factor</t>
  </si>
  <si>
    <t>Excess Revenue (Excess Earnings/CF)</t>
  </si>
  <si>
    <t>Sharing %</t>
  </si>
  <si>
    <t>Residential Revenue</t>
  </si>
  <si>
    <t>Non-Residential Revenue</t>
  </si>
  <si>
    <t>Total Normalized Revenue</t>
  </si>
  <si>
    <t xml:space="preserve">  Residential</t>
  </si>
  <si>
    <t xml:space="preserve"> Non-Residential</t>
  </si>
  <si>
    <t>Total</t>
  </si>
  <si>
    <t>Additional Adjustments for Earnings Test Include:</t>
  </si>
  <si>
    <t xml:space="preserve">Decoupling Mechanism Earnings Test </t>
  </si>
  <si>
    <t xml:space="preserve">To ensure separation of the Decoupling Earnings Test Sharing from the Energy Recovery Mechanism Sharing without the possibility of double-counting, this adjustment restates variable Power Supply Costs to the amount accounted for by the decoupling mechanism with actual loads.  The Energy Recovery Mechanism provides for sharing power cost differences with customers. </t>
  </si>
  <si>
    <t>3.03</t>
  </si>
  <si>
    <t>Allowed Capital Structure Debt Cost</t>
  </si>
  <si>
    <t>Filed Commission Basis Results reflects actual debt cost and actual capital structure.  This adjustment keeps the actual debt cost but adjusts the debt percentage to the capital structure approved in UE-150204 and UG-150205 effective with rates at 01/11/2016.</t>
  </si>
  <si>
    <t>Commission Basis Rate Base</t>
  </si>
  <si>
    <t>Allowed Debt Percentage</t>
  </si>
  <si>
    <t>Actual Debt Cost</t>
  </si>
  <si>
    <t>Allowed Interest Expense</t>
  </si>
  <si>
    <t>Interest per Commission Basis</t>
  </si>
  <si>
    <t>Increase (Decrease) in Interest Expense</t>
  </si>
  <si>
    <t>FIT Rate</t>
  </si>
  <si>
    <t>Increase (Decrease) in FIT Expense</t>
  </si>
  <si>
    <t>$000s</t>
  </si>
  <si>
    <t>Allowed Capital Structure</t>
  </si>
  <si>
    <t>UE-150204 and UG-150205</t>
  </si>
  <si>
    <t>Capital</t>
  </si>
  <si>
    <t>Weighted</t>
  </si>
  <si>
    <t>Component</t>
  </si>
  <si>
    <t>Structure</t>
  </si>
  <si>
    <t>Cost</t>
  </si>
  <si>
    <t>Total Debt</t>
  </si>
  <si>
    <t>WA wtd debt</t>
  </si>
  <si>
    <t>Common</t>
  </si>
  <si>
    <t>AVISTA UTILITIES</t>
  </si>
  <si>
    <t>Washington - Electric System</t>
  </si>
  <si>
    <t>Cap Structure</t>
  </si>
  <si>
    <t>Commission Basis Debt Cost</t>
  </si>
  <si>
    <t>Power Supply</t>
  </si>
  <si>
    <t>Washington Settlement Adjustment</t>
  </si>
  <si>
    <t xml:space="preserve">Commission Basis PS </t>
  </si>
  <si>
    <t>Account 557 - REC Expenses (offset to REC Revenue)</t>
  </si>
  <si>
    <t>Washington Jurisdiction</t>
  </si>
  <si>
    <t>2017 Deferrals</t>
  </si>
  <si>
    <t>2017 Commission Basis Earnings Test for Decoupling</t>
  </si>
  <si>
    <t>2017 Total Earnings Test Sharing</t>
  </si>
  <si>
    <t>12 Months Ended December 2017</t>
  </si>
  <si>
    <t>Allowed Capital Structure with 2017 Actual Debt Cost (WA method)</t>
  </si>
  <si>
    <t>Actual Debt Cost keeping allowed return to 7.29% reduces ROE to 9.24%</t>
  </si>
  <si>
    <t>Actual Cost of Capital AMA 12/31/2017</t>
  </si>
  <si>
    <t>For the Company to earn the Allowed Return on Equity the Allowed Rate of Return for the earnings test would need to be adjusted to 7.40% with the Actual Capital Structure or 7.42% with the Capital Structure approved in Docket Nos. UE-150204 and UG-150205</t>
  </si>
  <si>
    <t>2017 Actual Loads</t>
  </si>
  <si>
    <t>2017 Actual</t>
  </si>
  <si>
    <t>Washington Direct Transmission Revenue</t>
  </si>
  <si>
    <t>Line No.</t>
  </si>
  <si>
    <t>Revenue From 2017 Normalized Loads and Customers at Present Billing Rates (1)</t>
  </si>
  <si>
    <t xml:space="preserve">Preliminary Earnings Test Sharing </t>
  </si>
  <si>
    <t>Gross Revenue Sharing</t>
  </si>
  <si>
    <t>Net of Revenue Related Expenses</t>
  </si>
  <si>
    <t>Revenue Conversion Factor</t>
  </si>
  <si>
    <t xml:space="preserve">Line </t>
  </si>
  <si>
    <t>No.</t>
  </si>
  <si>
    <t>Description</t>
  </si>
  <si>
    <t>Factor</t>
  </si>
  <si>
    <t>Revenues</t>
  </si>
  <si>
    <t>Expense:</t>
  </si>
  <si>
    <t xml:space="preserve">  Uncollectibles</t>
  </si>
  <si>
    <t xml:space="preserve">  Commission Fees</t>
  </si>
  <si>
    <t xml:space="preserve">  Washington Excise Tax</t>
  </si>
  <si>
    <t xml:space="preserve">    Total Expense</t>
  </si>
  <si>
    <t>Net Operating Income Before FIT</t>
  </si>
  <si>
    <t xml:space="preserve">  Federal Income Tax @ 35%</t>
  </si>
  <si>
    <t>REVENUE CONVERSION FACTOR</t>
  </si>
  <si>
    <t>TWELVE MONTHS ENDED DECEMBER 31, 2017</t>
  </si>
  <si>
    <t>Electric System</t>
  </si>
  <si>
    <t>Natural Gas System</t>
  </si>
  <si>
    <t>Final December Estimate Booked</t>
  </si>
  <si>
    <t>2017 Earnings Sharing True-Up</t>
  </si>
  <si>
    <t>2017 Earnings Sharing True-Up Booked April 2018</t>
  </si>
  <si>
    <t>(1)  Revenue from 2017 normalized loads and customers at present billing rates, 
       electric rates effective since 7-1-2018, natural gas rates effective since 6-1-2018.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</si>
</sst>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44" formatCode="_(&quot;$&quot;* #,##0.00_);_(&quot;$&quot;* \(#,##0.00\);_(&quot;$&quot;* &quot;-&quot;??_);_(@_)"/>
    <numFmt numFmtId="43" formatCode="_(* #,##0.00_);_(* \(#,##0.00\);_(* &quot;-&quot;??_);_(@_)"/>
    <numFmt numFmtId="164" formatCode="_(* #,##0_);_(* \(#,##0\);_(* &quot;-&quot;??_);_(@_)"/>
    <numFmt numFmtId="165" formatCode="&quot;$&quot;#,##0.00"/>
    <numFmt numFmtId="166" formatCode="_(&quot;$&quot;* #,##0_);_(&quot;$&quot;* \(#,##0\);_(&quot;$&quot;* &quot;-&quot;??_);_(@_)"/>
    <numFmt numFmtId="167" formatCode="0.000000"/>
    <numFmt numFmtId="168" formatCode="&quot;$&quot;#,##0.00000"/>
    <numFmt numFmtId="169" formatCode="0.000%"/>
  </numFmts>
  <fonts count="20">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sz val="10"/>
      <name val="Geneva"/>
    </font>
    <font>
      <sz val="10"/>
      <name val="Arial"/>
      <family val="2"/>
    </font>
    <font>
      <sz val="10"/>
      <color rgb="FF0000FF"/>
      <name val="Arial"/>
      <family val="2"/>
    </font>
    <font>
      <sz val="10"/>
      <color rgb="FF0000FF"/>
      <name val="Geneva"/>
    </font>
    <font>
      <sz val="9"/>
      <color indexed="81"/>
      <name val="Tahoma"/>
      <family val="2"/>
    </font>
    <font>
      <b/>
      <sz val="9"/>
      <color indexed="81"/>
      <name val="Tahoma"/>
      <family val="2"/>
    </font>
    <font>
      <sz val="11"/>
      <color rgb="FF0070C0"/>
      <name val="Calibri"/>
      <family val="2"/>
      <scheme val="minor"/>
    </font>
    <font>
      <sz val="10"/>
      <name val="Times New Roman"/>
      <family val="1"/>
    </font>
    <font>
      <b/>
      <sz val="10"/>
      <name val="Times New Roman"/>
      <family val="1"/>
    </font>
    <font>
      <sz val="10"/>
      <name val="Geneva"/>
      <family val="2"/>
    </font>
    <font>
      <sz val="10"/>
      <color indexed="12"/>
      <name val="Times New Roman"/>
      <family val="1"/>
    </font>
    <font>
      <b/>
      <sz val="11"/>
      <name val="Times New Roman"/>
      <family val="1"/>
    </font>
    <font>
      <b/>
      <sz val="11"/>
      <color rgb="FF0070C0"/>
      <name val="Calibri"/>
      <family val="2"/>
      <scheme val="minor"/>
    </font>
    <font>
      <b/>
      <i/>
      <sz val="10"/>
      <name val="Times New Roman"/>
      <family val="1"/>
    </font>
    <font>
      <i/>
      <sz val="10"/>
      <name val="Times New Roman"/>
      <family val="1"/>
    </font>
    <font>
      <sz val="10"/>
      <color indexed="48"/>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right/>
      <top style="thin">
        <color indexed="64"/>
      </top>
      <bottom/>
      <diagonal/>
    </border>
    <border>
      <left style="double">
        <color rgb="FFFF0000"/>
      </left>
      <right style="double">
        <color rgb="FFFF0000"/>
      </right>
      <top style="double">
        <color rgb="FFFF0000"/>
      </top>
      <bottom style="double">
        <color rgb="FFFF0000"/>
      </bottom>
      <diagonal/>
    </border>
    <border>
      <left/>
      <right style="medium">
        <color indexed="64"/>
      </right>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5" fillId="0" borderId="0" applyFont="0" applyFill="0" applyBorder="0" applyAlignment="0" applyProtection="0"/>
    <xf numFmtId="0" fontId="13" fillId="0" borderId="0"/>
  </cellStyleXfs>
  <cellXfs count="107">
    <xf numFmtId="0" fontId="0" fillId="0" borderId="0" xfId="0"/>
    <xf numFmtId="0" fontId="2" fillId="0" borderId="0" xfId="0" applyFont="1"/>
    <xf numFmtId="0" fontId="0" fillId="0" borderId="0" xfId="0" applyFill="1"/>
    <xf numFmtId="164" fontId="0" fillId="0" borderId="0" xfId="1" applyNumberFormat="1" applyFont="1"/>
    <xf numFmtId="164" fontId="0" fillId="0" borderId="1" xfId="1" applyNumberFormat="1" applyFont="1" applyBorder="1"/>
    <xf numFmtId="10" fontId="3" fillId="0" borderId="0" xfId="3" applyNumberFormat="1" applyFont="1" applyBorder="1"/>
    <xf numFmtId="164" fontId="2" fillId="0" borderId="1" xfId="1" applyNumberFormat="1" applyFont="1" applyBorder="1"/>
    <xf numFmtId="3" fontId="4" fillId="0" borderId="0" xfId="4" applyNumberFormat="1" applyFill="1"/>
    <xf numFmtId="164" fontId="6" fillId="0" borderId="0" xfId="5" applyNumberFormat="1" applyFont="1" applyFill="1" applyAlignment="1">
      <alignment vertical="center"/>
    </xf>
    <xf numFmtId="165" fontId="7" fillId="0" borderId="0" xfId="4" applyNumberFormat="1" applyFont="1"/>
    <xf numFmtId="164" fontId="2" fillId="0" borderId="0" xfId="1" applyNumberFormat="1" applyFont="1"/>
    <xf numFmtId="164" fontId="2" fillId="0" borderId="0" xfId="0" applyNumberFormat="1" applyFont="1"/>
    <xf numFmtId="44" fontId="0" fillId="0" borderId="0" xfId="2" applyFont="1"/>
    <xf numFmtId="0" fontId="0" fillId="0" borderId="0" xfId="0" applyAlignment="1">
      <alignment horizontal="center"/>
    </xf>
    <xf numFmtId="164" fontId="0" fillId="0" borderId="0" xfId="0" applyNumberFormat="1"/>
    <xf numFmtId="164" fontId="0" fillId="0" borderId="1" xfId="0" applyNumberFormat="1" applyBorder="1"/>
    <xf numFmtId="0" fontId="0" fillId="0" borderId="0" xfId="0" applyAlignment="1">
      <alignment horizontal="left" wrapText="1"/>
    </xf>
    <xf numFmtId="164" fontId="0" fillId="0" borderId="0" xfId="1" applyNumberFormat="1" applyFont="1" applyFill="1"/>
    <xf numFmtId="0" fontId="0" fillId="0" borderId="0" xfId="0" quotePrefix="1"/>
    <xf numFmtId="0" fontId="0" fillId="0" borderId="0" xfId="0" applyAlignment="1">
      <alignment horizontal="left"/>
    </xf>
    <xf numFmtId="0" fontId="0" fillId="0" borderId="0" xfId="0" applyAlignment="1">
      <alignment vertical="center"/>
    </xf>
    <xf numFmtId="166" fontId="0" fillId="0" borderId="0" xfId="0" applyNumberFormat="1"/>
    <xf numFmtId="10" fontId="0" fillId="0" borderId="0" xfId="3" applyNumberFormat="1" applyFont="1"/>
    <xf numFmtId="10" fontId="0" fillId="0" borderId="0" xfId="0" applyNumberFormat="1"/>
    <xf numFmtId="167" fontId="10" fillId="0" borderId="0" xfId="3" applyNumberFormat="1" applyFont="1" applyBorder="1"/>
    <xf numFmtId="9" fontId="0" fillId="0" borderId="0" xfId="0" applyNumberFormat="1"/>
    <xf numFmtId="166" fontId="2" fillId="0" borderId="2" xfId="0" applyNumberFormat="1" applyFont="1" applyBorder="1"/>
    <xf numFmtId="166" fontId="2" fillId="0" borderId="0" xfId="0" applyNumberFormat="1" applyFont="1" applyBorder="1"/>
    <xf numFmtId="168" fontId="0" fillId="0" borderId="0" xfId="0" applyNumberFormat="1"/>
    <xf numFmtId="0" fontId="0" fillId="0" borderId="0" xfId="0" applyAlignment="1">
      <alignment horizontal="center"/>
    </xf>
    <xf numFmtId="0" fontId="0" fillId="0" borderId="0" xfId="0" applyAlignment="1">
      <alignment vertical="top"/>
    </xf>
    <xf numFmtId="0" fontId="0" fillId="0" borderId="0" xfId="0" applyAlignment="1">
      <alignment horizontal="center" wrapText="1"/>
    </xf>
    <xf numFmtId="169" fontId="0" fillId="0" borderId="0" xfId="0" applyNumberFormat="1"/>
    <xf numFmtId="9" fontId="1" fillId="0" borderId="0" xfId="3" applyFont="1"/>
    <xf numFmtId="0" fontId="11" fillId="2" borderId="0" xfId="0" applyFont="1" applyFill="1" applyBorder="1"/>
    <xf numFmtId="0" fontId="12" fillId="2" borderId="0" xfId="0" applyFont="1" applyFill="1" applyBorder="1" applyAlignment="1">
      <alignment horizontal="center"/>
    </xf>
    <xf numFmtId="37" fontId="11" fillId="2" borderId="3" xfId="6" applyNumberFormat="1" applyFont="1" applyFill="1" applyBorder="1"/>
    <xf numFmtId="0" fontId="12" fillId="2" borderId="4" xfId="0" applyFont="1" applyFill="1" applyBorder="1" applyAlignment="1">
      <alignment horizontal="center"/>
    </xf>
    <xf numFmtId="37" fontId="11" fillId="2" borderId="0" xfId="6" applyNumberFormat="1" applyFont="1" applyFill="1" applyBorder="1"/>
    <xf numFmtId="37" fontId="14" fillId="2" borderId="0" xfId="6" applyNumberFormat="1" applyFont="1" applyFill="1" applyBorder="1"/>
    <xf numFmtId="0" fontId="11" fillId="2" borderId="3" xfId="0" applyFont="1" applyFill="1" applyBorder="1"/>
    <xf numFmtId="5" fontId="11" fillId="2" borderId="0" xfId="0" applyNumberFormat="1" applyFont="1" applyFill="1" applyBorder="1"/>
    <xf numFmtId="10" fontId="11" fillId="2" borderId="0" xfId="3" applyNumberFormat="1" applyFont="1" applyFill="1" applyBorder="1"/>
    <xf numFmtId="169" fontId="14" fillId="2" borderId="0" xfId="3" applyNumberFormat="1" applyFont="1" applyFill="1" applyBorder="1"/>
    <xf numFmtId="37" fontId="12" fillId="2" borderId="3" xfId="6" applyNumberFormat="1" applyFont="1" applyFill="1" applyBorder="1"/>
    <xf numFmtId="164" fontId="11" fillId="2" borderId="0" xfId="5" applyNumberFormat="1" applyFont="1" applyFill="1" applyBorder="1"/>
    <xf numFmtId="10" fontId="14" fillId="2" borderId="0" xfId="3" applyNumberFormat="1" applyFont="1" applyFill="1" applyBorder="1"/>
    <xf numFmtId="169" fontId="11" fillId="2" borderId="0" xfId="3" applyNumberFormat="1" applyFont="1" applyFill="1" applyBorder="1"/>
    <xf numFmtId="10" fontId="11" fillId="2" borderId="5" xfId="3" applyNumberFormat="1" applyFont="1" applyFill="1" applyBorder="1"/>
    <xf numFmtId="37" fontId="12" fillId="2" borderId="0" xfId="6" applyNumberFormat="1" applyFont="1" applyFill="1" applyBorder="1"/>
    <xf numFmtId="10" fontId="12" fillId="2" borderId="0" xfId="3" applyNumberFormat="1" applyFont="1" applyFill="1" applyBorder="1" applyAlignment="1">
      <alignment horizontal="center"/>
    </xf>
    <xf numFmtId="0" fontId="0" fillId="0" borderId="0" xfId="0" applyBorder="1"/>
    <xf numFmtId="0" fontId="12" fillId="2" borderId="10" xfId="0" applyFont="1" applyFill="1" applyBorder="1" applyAlignment="1">
      <alignment horizontal="left"/>
    </xf>
    <xf numFmtId="0" fontId="12" fillId="2" borderId="11" xfId="0" applyFont="1" applyFill="1" applyBorder="1" applyAlignment="1">
      <alignment horizontal="center"/>
    </xf>
    <xf numFmtId="0" fontId="12" fillId="2" borderId="12" xfId="0" applyFont="1" applyFill="1" applyBorder="1" applyAlignment="1">
      <alignment horizontal="center"/>
    </xf>
    <xf numFmtId="37" fontId="11" fillId="2" borderId="9" xfId="6" applyNumberFormat="1" applyFont="1" applyFill="1" applyBorder="1"/>
    <xf numFmtId="169" fontId="12" fillId="2" borderId="3" xfId="3" applyNumberFormat="1" applyFont="1" applyFill="1" applyBorder="1" applyAlignment="1">
      <alignment horizontal="center"/>
    </xf>
    <xf numFmtId="37" fontId="11" fillId="2" borderId="13" xfId="6" applyNumberFormat="1" applyFont="1" applyFill="1" applyBorder="1"/>
    <xf numFmtId="0" fontId="11" fillId="2" borderId="14" xfId="0" applyFont="1" applyFill="1" applyBorder="1"/>
    <xf numFmtId="164" fontId="11" fillId="2" borderId="14" xfId="5" applyNumberFormat="1" applyFont="1" applyFill="1" applyBorder="1"/>
    <xf numFmtId="10" fontId="11" fillId="2" borderId="14" xfId="3" applyNumberFormat="1" applyFont="1" applyFill="1" applyBorder="1"/>
    <xf numFmtId="10" fontId="14" fillId="2" borderId="14" xfId="3" applyNumberFormat="1" applyFont="1" applyFill="1" applyBorder="1"/>
    <xf numFmtId="37" fontId="11" fillId="2" borderId="15" xfId="6" applyNumberFormat="1" applyFont="1" applyFill="1" applyBorder="1"/>
    <xf numFmtId="44" fontId="0" fillId="0" borderId="0" xfId="0" applyNumberFormat="1"/>
    <xf numFmtId="166" fontId="0" fillId="0" borderId="0" xfId="2" applyNumberFormat="1" applyFont="1"/>
    <xf numFmtId="164" fontId="16" fillId="0" borderId="0" xfId="1" applyNumberFormat="1" applyFont="1"/>
    <xf numFmtId="0" fontId="0" fillId="0" borderId="0" xfId="0" applyAlignment="1">
      <alignment horizontal="center"/>
    </xf>
    <xf numFmtId="166" fontId="0" fillId="0" borderId="0" xfId="2" applyNumberFormat="1" applyFont="1" applyFill="1"/>
    <xf numFmtId="14" fontId="0" fillId="0" borderId="0" xfId="0" applyNumberFormat="1"/>
    <xf numFmtId="0" fontId="0" fillId="0" borderId="0" xfId="0" applyAlignment="1">
      <alignment horizontal="center"/>
    </xf>
    <xf numFmtId="0" fontId="0" fillId="0" borderId="0" xfId="0" applyAlignment="1">
      <alignment horizontal="center"/>
    </xf>
    <xf numFmtId="0" fontId="11" fillId="0" borderId="0" xfId="0" applyFont="1"/>
    <xf numFmtId="0" fontId="18" fillId="0" borderId="0" xfId="0" applyFont="1"/>
    <xf numFmtId="0" fontId="12" fillId="0" borderId="0" xfId="0" applyFont="1" applyAlignment="1">
      <alignment horizontal="center"/>
    </xf>
    <xf numFmtId="0" fontId="17" fillId="0" borderId="0"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7" fillId="0" borderId="4" xfId="0" applyFont="1" applyBorder="1" applyAlignment="1">
      <alignment horizontal="center"/>
    </xf>
    <xf numFmtId="0" fontId="11" fillId="0" borderId="0" xfId="0" applyFont="1" applyAlignment="1">
      <alignment horizontal="center"/>
    </xf>
    <xf numFmtId="0" fontId="12" fillId="0" borderId="0" xfId="0" applyFont="1"/>
    <xf numFmtId="167" fontId="18" fillId="0" borderId="0" xfId="0" applyNumberFormat="1" applyFont="1"/>
    <xf numFmtId="167" fontId="12" fillId="0" borderId="0" xfId="0" applyNumberFormat="1" applyFont="1"/>
    <xf numFmtId="167" fontId="11" fillId="0" borderId="0" xfId="0" applyNumberFormat="1" applyFont="1"/>
    <xf numFmtId="167" fontId="11" fillId="0" borderId="0" xfId="0" applyNumberFormat="1" applyFont="1" applyFill="1"/>
    <xf numFmtId="167" fontId="18" fillId="0" borderId="16" xfId="0" applyNumberFormat="1" applyFont="1" applyBorder="1"/>
    <xf numFmtId="167" fontId="18" fillId="0" borderId="0" xfId="0" applyNumberFormat="1" applyFont="1" applyBorder="1"/>
    <xf numFmtId="10" fontId="19" fillId="0" borderId="0" xfId="0" applyNumberFormat="1" applyFont="1"/>
    <xf numFmtId="167" fontId="18" fillId="0" borderId="4" xfId="0" applyNumberFormat="1" applyFont="1" applyBorder="1"/>
    <xf numFmtId="167" fontId="18" fillId="0" borderId="5" xfId="0" applyNumberFormat="1" applyFont="1" applyBorder="1"/>
    <xf numFmtId="166" fontId="2" fillId="0" borderId="1" xfId="0" applyNumberFormat="1" applyFont="1" applyBorder="1"/>
    <xf numFmtId="0" fontId="0" fillId="0" borderId="0" xfId="0" applyAlignment="1">
      <alignment horizontal="center"/>
    </xf>
    <xf numFmtId="0" fontId="0" fillId="0" borderId="0" xfId="0" applyAlignment="1">
      <alignment horizontal="justify" wrapText="1"/>
    </xf>
    <xf numFmtId="0" fontId="0" fillId="0" borderId="0" xfId="0"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5" fillId="3" borderId="9" xfId="0" applyFont="1" applyFill="1" applyBorder="1" applyAlignment="1">
      <alignment horizontal="center"/>
    </xf>
    <xf numFmtId="0" fontId="15" fillId="3" borderId="0" xfId="0" applyFont="1" applyFill="1" applyBorder="1" applyAlignment="1">
      <alignment horizontal="center"/>
    </xf>
    <xf numFmtId="0" fontId="15" fillId="3" borderId="3" xfId="0" applyFont="1" applyFill="1" applyBorder="1" applyAlignment="1">
      <alignment horizontal="center"/>
    </xf>
    <xf numFmtId="0" fontId="12" fillId="0" borderId="9" xfId="0" applyFont="1" applyFill="1" applyBorder="1" applyAlignment="1">
      <alignment horizontal="center"/>
    </xf>
    <xf numFmtId="0" fontId="12" fillId="0" borderId="0" xfId="0" applyFont="1" applyFill="1" applyBorder="1" applyAlignment="1">
      <alignment horizontal="center"/>
    </xf>
    <xf numFmtId="0" fontId="12" fillId="0" borderId="3" xfId="0" applyFont="1" applyFill="1" applyBorder="1" applyAlignment="1">
      <alignment horizontal="center"/>
    </xf>
    <xf numFmtId="0" fontId="0" fillId="0" borderId="0" xfId="0" applyAlignment="1">
      <alignment horizontal="justify" vertical="top" wrapText="1"/>
    </xf>
    <xf numFmtId="0" fontId="0" fillId="0" borderId="0" xfId="0" applyAlignment="1">
      <alignment horizontal="left" wrapText="1"/>
    </xf>
    <xf numFmtId="0" fontId="12" fillId="0" borderId="0" xfId="0" applyFont="1" applyAlignment="1">
      <alignment horizontal="center"/>
    </xf>
    <xf numFmtId="0" fontId="2" fillId="0" borderId="0" xfId="0" applyFont="1" applyAlignment="1">
      <alignment horizontal="center"/>
    </xf>
    <xf numFmtId="0" fontId="0" fillId="0" borderId="0" xfId="0" applyFont="1"/>
  </cellXfs>
  <cellStyles count="7">
    <cellStyle name="Comma" xfId="1" builtinId="3"/>
    <cellStyle name="Comma 2" xfId="5"/>
    <cellStyle name="Currency" xfId="2" builtinId="4"/>
    <cellStyle name="Normal" xfId="0" builtinId="0"/>
    <cellStyle name="Normal 2" xfId="4"/>
    <cellStyle name="Normal_WAElec6_97" xfId="6"/>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6"/>
  <sheetViews>
    <sheetView zoomScaleNormal="100" workbookViewId="0">
      <selection activeCell="K49" sqref="K49"/>
    </sheetView>
  </sheetViews>
  <sheetFormatPr defaultRowHeight="14.4"/>
  <cols>
    <col min="1" max="1" width="41.44140625" customWidth="1"/>
    <col min="2" max="2" width="4.109375" customWidth="1"/>
    <col min="3" max="3" width="16.6640625" customWidth="1"/>
    <col min="4" max="4" width="7.88671875" customWidth="1"/>
    <col min="5" max="5" width="15.109375" customWidth="1"/>
    <col min="6" max="6" width="7.77734375" customWidth="1"/>
    <col min="7" max="7" width="13.5546875" customWidth="1"/>
    <col min="8" max="8" width="6.88671875" customWidth="1"/>
    <col min="9" max="9" width="12.88671875" customWidth="1"/>
    <col min="10" max="10" width="16.33203125" customWidth="1"/>
    <col min="11" max="11" width="24" customWidth="1"/>
    <col min="12" max="12" width="13.88671875" customWidth="1"/>
    <col min="13" max="14" width="13.33203125" customWidth="1"/>
    <col min="15" max="15" width="15.6640625" customWidth="1"/>
    <col min="16" max="16" width="15.33203125" customWidth="1"/>
    <col min="17" max="17" width="16.33203125" customWidth="1"/>
    <col min="18" max="18" width="5.33203125" customWidth="1"/>
    <col min="19" max="19" width="14.33203125" customWidth="1"/>
    <col min="20" max="20" width="15.44140625" customWidth="1"/>
    <col min="21" max="21" width="14.44140625" customWidth="1"/>
  </cols>
  <sheetData>
    <row r="1" spans="1:7">
      <c r="A1" t="s">
        <v>0</v>
      </c>
    </row>
    <row r="2" spans="1:7">
      <c r="A2" t="s">
        <v>1</v>
      </c>
    </row>
    <row r="3" spans="1:7">
      <c r="A3" t="s">
        <v>114</v>
      </c>
    </row>
    <row r="5" spans="1:7" ht="24.6" customHeight="1">
      <c r="A5" s="20" t="s">
        <v>2</v>
      </c>
    </row>
    <row r="6" spans="1:7">
      <c r="A6" t="s">
        <v>86</v>
      </c>
      <c r="C6" s="29" t="s">
        <v>50</v>
      </c>
      <c r="E6" s="29" t="s">
        <v>49</v>
      </c>
      <c r="G6" s="29" t="s">
        <v>115</v>
      </c>
    </row>
    <row r="7" spans="1:7">
      <c r="A7" t="s">
        <v>18</v>
      </c>
      <c r="C7" s="29" t="s">
        <v>32</v>
      </c>
      <c r="E7" s="29" t="s">
        <v>51</v>
      </c>
      <c r="G7" s="29" t="s">
        <v>101</v>
      </c>
    </row>
    <row r="8" spans="1:7">
      <c r="A8" t="s">
        <v>3</v>
      </c>
      <c r="C8" s="3">
        <f>E8</f>
        <v>119195</v>
      </c>
      <c r="E8" s="3">
        <v>119195</v>
      </c>
      <c r="G8" s="3">
        <v>130674</v>
      </c>
    </row>
    <row r="9" spans="1:7">
      <c r="A9" t="s">
        <v>4</v>
      </c>
      <c r="C9" s="3">
        <f t="shared" ref="C9:C14" si="0">E9</f>
        <v>29123</v>
      </c>
      <c r="E9" s="3">
        <v>29123</v>
      </c>
      <c r="G9" s="3">
        <v>26289</v>
      </c>
    </row>
    <row r="10" spans="1:7">
      <c r="A10" t="s">
        <v>5</v>
      </c>
      <c r="C10" s="3">
        <f t="shared" si="0"/>
        <v>77293</v>
      </c>
      <c r="E10" s="3">
        <v>77293</v>
      </c>
      <c r="G10" s="3">
        <v>69526</v>
      </c>
    </row>
    <row r="11" spans="1:7">
      <c r="A11" t="s">
        <v>6</v>
      </c>
      <c r="C11" s="3">
        <f t="shared" si="0"/>
        <v>-88588</v>
      </c>
      <c r="E11" s="3">
        <v>-88588</v>
      </c>
      <c r="G11" s="3">
        <v>-88779</v>
      </c>
    </row>
    <row r="12" spans="1:7">
      <c r="A12" t="s">
        <v>7</v>
      </c>
      <c r="C12" s="3">
        <f t="shared" si="0"/>
        <v>17237</v>
      </c>
      <c r="E12" s="3">
        <v>17237</v>
      </c>
      <c r="G12" s="3">
        <v>17570</v>
      </c>
    </row>
    <row r="13" spans="1:7">
      <c r="A13" t="s">
        <v>8</v>
      </c>
      <c r="C13" s="3">
        <f t="shared" si="0"/>
        <v>-15802</v>
      </c>
      <c r="E13" s="17">
        <v>-15802</v>
      </c>
      <c r="G13" s="17">
        <v>-20494</v>
      </c>
    </row>
    <row r="14" spans="1:7">
      <c r="A14" t="s">
        <v>9</v>
      </c>
      <c r="C14" s="3">
        <f t="shared" si="0"/>
        <v>690</v>
      </c>
      <c r="E14" s="3">
        <v>690</v>
      </c>
      <c r="G14" s="3">
        <v>728</v>
      </c>
    </row>
    <row r="15" spans="1:7">
      <c r="A15" t="s">
        <v>21</v>
      </c>
      <c r="C15" s="3"/>
      <c r="E15" s="3">
        <v>0</v>
      </c>
      <c r="G15" s="3">
        <v>61140</v>
      </c>
    </row>
    <row r="16" spans="1:7">
      <c r="A16" t="s">
        <v>22</v>
      </c>
      <c r="C16" s="3"/>
      <c r="E16" s="3">
        <v>0</v>
      </c>
      <c r="G16" s="3">
        <v>-67199</v>
      </c>
    </row>
    <row r="17" spans="1:7">
      <c r="A17" t="s">
        <v>104</v>
      </c>
      <c r="C17" s="3"/>
      <c r="E17" s="3">
        <v>0</v>
      </c>
      <c r="G17" s="3">
        <v>41</v>
      </c>
    </row>
    <row r="18" spans="1:7">
      <c r="A18" t="s">
        <v>36</v>
      </c>
      <c r="C18" s="3"/>
      <c r="E18" s="3">
        <v>0</v>
      </c>
      <c r="G18" s="3">
        <v>-4894</v>
      </c>
    </row>
    <row r="19" spans="1:7">
      <c r="C19" s="4">
        <f>SUM(C8:C14)</f>
        <v>139148</v>
      </c>
      <c r="E19" s="4">
        <f>SUM(E8:E18)</f>
        <v>139148</v>
      </c>
      <c r="F19" s="4"/>
      <c r="G19" s="4">
        <f t="shared" ref="G19" si="1">SUM(G8:G18)</f>
        <v>124602</v>
      </c>
    </row>
    <row r="20" spans="1:7">
      <c r="A20" t="s">
        <v>10</v>
      </c>
      <c r="C20" s="5">
        <v>0.64710000000000001</v>
      </c>
      <c r="E20" s="5">
        <v>0.65349999999999997</v>
      </c>
      <c r="G20" s="5">
        <v>0.65349999999999997</v>
      </c>
    </row>
    <row r="21" spans="1:7">
      <c r="A21" t="s">
        <v>11</v>
      </c>
      <c r="C21" s="3">
        <f>C19*C20</f>
        <v>90042.670800000007</v>
      </c>
      <c r="E21" s="3">
        <f>E19*E20</f>
        <v>90933.217999999993</v>
      </c>
      <c r="G21" s="3">
        <f>G19*G20</f>
        <v>81427.406999999992</v>
      </c>
    </row>
    <row r="22" spans="1:7">
      <c r="A22" t="s">
        <v>102</v>
      </c>
      <c r="C22" s="3">
        <f t="shared" ref="C22:C23" si="2">E22</f>
        <v>-1500</v>
      </c>
      <c r="E22" s="3">
        <v>-1500</v>
      </c>
      <c r="G22" s="3">
        <v>0</v>
      </c>
    </row>
    <row r="23" spans="1:7">
      <c r="A23" t="s">
        <v>37</v>
      </c>
      <c r="C23" s="3">
        <f t="shared" si="2"/>
        <v>0</v>
      </c>
      <c r="E23" s="3">
        <v>0</v>
      </c>
      <c r="G23" s="3">
        <v>0</v>
      </c>
    </row>
    <row r="24" spans="1:7">
      <c r="A24" t="s">
        <v>116</v>
      </c>
      <c r="C24" s="3"/>
      <c r="E24" s="3"/>
      <c r="G24" s="3">
        <v>-105</v>
      </c>
    </row>
    <row r="25" spans="1:7">
      <c r="A25" s="1" t="s">
        <v>23</v>
      </c>
      <c r="C25" s="6">
        <f>SUM(C21:C23)</f>
        <v>88542.670800000007</v>
      </c>
      <c r="E25" s="6">
        <f>E21+E23+E22</f>
        <v>89433.217999999993</v>
      </c>
      <c r="G25" s="6">
        <f>G21+G23+G24</f>
        <v>81322.406999999992</v>
      </c>
    </row>
    <row r="26" spans="1:7">
      <c r="A26" t="s">
        <v>12</v>
      </c>
      <c r="C26" s="3">
        <v>5653834</v>
      </c>
      <c r="E26" s="7">
        <f>C26</f>
        <v>5653834</v>
      </c>
    </row>
    <row r="27" spans="1:7">
      <c r="A27" t="s">
        <v>13</v>
      </c>
      <c r="C27" s="12">
        <f>C25/C26*1000</f>
        <v>15.660642105870107</v>
      </c>
      <c r="E27" s="12"/>
    </row>
    <row r="28" spans="1:7">
      <c r="C28" s="3"/>
      <c r="E28" s="3"/>
    </row>
    <row r="29" spans="1:7">
      <c r="A29" t="s">
        <v>14</v>
      </c>
      <c r="C29" s="8">
        <v>5817351</v>
      </c>
      <c r="E29" s="8">
        <v>5674900</v>
      </c>
    </row>
    <row r="30" spans="1:7">
      <c r="A30" t="s">
        <v>15</v>
      </c>
      <c r="C30" s="3">
        <f>C29-C26</f>
        <v>163517</v>
      </c>
      <c r="E30" s="3">
        <f>E29-E26</f>
        <v>21066</v>
      </c>
    </row>
    <row r="31" spans="1:7">
      <c r="A31" s="2" t="s">
        <v>19</v>
      </c>
      <c r="C31" s="9">
        <f>C27</f>
        <v>15.660642105870107</v>
      </c>
      <c r="E31" s="9">
        <f>C31</f>
        <v>15.660642105870107</v>
      </c>
    </row>
    <row r="32" spans="1:7">
      <c r="A32" s="1" t="s">
        <v>16</v>
      </c>
      <c r="C32" s="10">
        <f>C30*C31/1000</f>
        <v>2560.7812152255624</v>
      </c>
      <c r="E32" s="10">
        <f>E30*E31/1000</f>
        <v>329.90708660225965</v>
      </c>
    </row>
    <row r="34" spans="1:15">
      <c r="A34" s="1" t="s">
        <v>17</v>
      </c>
      <c r="C34" s="11">
        <f>ROUND(C25+C32,0)</f>
        <v>91103</v>
      </c>
      <c r="D34" s="12">
        <f>C34/C29*1000</f>
        <v>15.660564404657721</v>
      </c>
      <c r="E34" s="11">
        <f>ROUND(E25+E32,0)</f>
        <v>89763</v>
      </c>
      <c r="F34" s="12">
        <f>E34/E29*1000</f>
        <v>15.817547445769971</v>
      </c>
      <c r="G34" s="11">
        <f>ROUND(G25+G32,0)</f>
        <v>81322</v>
      </c>
      <c r="K34" s="65"/>
    </row>
    <row r="35" spans="1:15" ht="27" customHeight="1">
      <c r="C35" s="12"/>
      <c r="I35" s="31" t="s">
        <v>52</v>
      </c>
      <c r="J35" s="31" t="s">
        <v>103</v>
      </c>
      <c r="K35" s="1"/>
    </row>
    <row r="36" spans="1:15">
      <c r="A36" s="1" t="s">
        <v>24</v>
      </c>
      <c r="C36" s="29" t="s">
        <v>53</v>
      </c>
      <c r="D36" s="29"/>
      <c r="E36" s="29" t="s">
        <v>49</v>
      </c>
      <c r="F36" s="29"/>
      <c r="G36" s="29" t="s">
        <v>20</v>
      </c>
      <c r="I36" s="29" t="s">
        <v>33</v>
      </c>
      <c r="J36" s="29" t="s">
        <v>33</v>
      </c>
      <c r="L36" s="14"/>
      <c r="M36" s="14"/>
      <c r="N36" s="14"/>
    </row>
    <row r="38" spans="1:15">
      <c r="A38" t="s">
        <v>25</v>
      </c>
      <c r="C38" s="14">
        <f>ROUND(-C11*$C$20,0)</f>
        <v>57325</v>
      </c>
      <c r="E38" s="14">
        <f>ROUND(-E11*$E$20,0)</f>
        <v>57892</v>
      </c>
      <c r="G38" s="14">
        <f>ROUND(-G11*$G$20,0)</f>
        <v>58017</v>
      </c>
      <c r="I38" s="14">
        <f>C38-E38</f>
        <v>-567</v>
      </c>
      <c r="J38" s="14">
        <f>E38-G38</f>
        <v>-125</v>
      </c>
      <c r="L38" s="14"/>
      <c r="M38" s="14"/>
      <c r="N38" s="14"/>
      <c r="O38" s="14"/>
    </row>
    <row r="39" spans="1:15">
      <c r="A39" t="s">
        <v>26</v>
      </c>
      <c r="C39" s="14">
        <f>ROUND(-C13*$C$20,0)</f>
        <v>10225</v>
      </c>
      <c r="E39" s="14">
        <f>ROUND(-(E13+E16+E18)*$E$20,0)</f>
        <v>10327</v>
      </c>
      <c r="G39" s="14">
        <f>ROUND(-(G13+G16+G18)*$G$20-G24,0)</f>
        <v>60611</v>
      </c>
      <c r="I39" s="14">
        <f>C39-E39</f>
        <v>-102</v>
      </c>
      <c r="J39" s="14">
        <f>E39-G39</f>
        <v>-50284</v>
      </c>
      <c r="L39" s="14"/>
      <c r="M39" s="14"/>
      <c r="N39" s="14"/>
      <c r="O39" s="14"/>
    </row>
    <row r="40" spans="1:15">
      <c r="A40" t="s">
        <v>27</v>
      </c>
      <c r="C40" s="15">
        <f>SUM(C38:C39)</f>
        <v>67550</v>
      </c>
      <c r="E40" s="15">
        <f>SUM(E38:E39)</f>
        <v>68219</v>
      </c>
      <c r="G40" s="15">
        <f>SUM(G38:G39)</f>
        <v>118628</v>
      </c>
      <c r="I40" s="15">
        <f>SUM(I38:I39)</f>
        <v>-669</v>
      </c>
      <c r="J40" s="15">
        <f>SUM(J38:J39)</f>
        <v>-50409</v>
      </c>
      <c r="L40" s="3"/>
      <c r="M40" s="3"/>
      <c r="N40" s="3"/>
      <c r="O40" s="14"/>
    </row>
    <row r="41" spans="1:15">
      <c r="L41" s="3"/>
      <c r="M41" s="3"/>
      <c r="N41" s="3"/>
      <c r="O41" s="14"/>
    </row>
    <row r="42" spans="1:15">
      <c r="A42" t="s">
        <v>28</v>
      </c>
      <c r="C42" s="14">
        <f>C34+C40-C43</f>
        <v>81522</v>
      </c>
      <c r="E42" s="14">
        <f>E34+E40-E43</f>
        <v>80088</v>
      </c>
      <c r="G42" s="14">
        <f>G34+G40-G43</f>
        <v>114555</v>
      </c>
      <c r="I42" s="14">
        <f>C42-E42</f>
        <v>1434</v>
      </c>
      <c r="J42" s="14">
        <f>E42-G42</f>
        <v>-34467</v>
      </c>
      <c r="L42" s="12"/>
      <c r="M42" s="12"/>
      <c r="N42" s="12"/>
      <c r="O42" s="63"/>
    </row>
    <row r="43" spans="1:15">
      <c r="A43" t="s">
        <v>29</v>
      </c>
      <c r="C43" s="14">
        <f>ROUND(C8*$C$20,0)</f>
        <v>77131</v>
      </c>
      <c r="E43" s="14">
        <f>ROUND(E8*$E$20,0)</f>
        <v>77894</v>
      </c>
      <c r="G43" s="14">
        <f>ROUND(G8*$G$20,0)</f>
        <v>85395</v>
      </c>
      <c r="I43" s="14">
        <f>C43-E43</f>
        <v>-763</v>
      </c>
      <c r="J43" s="14">
        <f>E43-G43</f>
        <v>-7501</v>
      </c>
      <c r="L43" s="64"/>
      <c r="M43" s="64"/>
      <c r="N43" s="64"/>
      <c r="O43" s="64"/>
    </row>
    <row r="44" spans="1:15">
      <c r="A44" t="s">
        <v>30</v>
      </c>
      <c r="C44" s="15">
        <f>SUM(C42:C43)</f>
        <v>158653</v>
      </c>
      <c r="E44" s="15">
        <f>SUM(E42:E43)</f>
        <v>157982</v>
      </c>
      <c r="G44" s="15">
        <f>SUM(G42:G43)</f>
        <v>199950</v>
      </c>
      <c r="I44" s="15">
        <f>SUM(I42:I43)</f>
        <v>671</v>
      </c>
      <c r="J44" s="15">
        <f>SUM(J42:J43)</f>
        <v>-41968</v>
      </c>
      <c r="L44" s="64"/>
      <c r="M44" s="64"/>
      <c r="N44" s="64"/>
      <c r="O44" s="64"/>
    </row>
    <row r="45" spans="1:15">
      <c r="O45" s="21"/>
    </row>
    <row r="46" spans="1:15">
      <c r="A46" t="s">
        <v>31</v>
      </c>
      <c r="C46" s="14">
        <f>C40-C44</f>
        <v>-91103</v>
      </c>
      <c r="E46" s="14">
        <f>E40-E44</f>
        <v>-89763</v>
      </c>
      <c r="G46" s="14">
        <f>G40-G44</f>
        <v>-81322</v>
      </c>
      <c r="I46" s="14">
        <f>I40-I44</f>
        <v>-1340</v>
      </c>
      <c r="J46" s="14">
        <f>J40-J44</f>
        <v>-8441</v>
      </c>
    </row>
  </sheetData>
  <printOptions horizontalCentered="1"/>
  <pageMargins left="0.7" right="0.7" top="0.5" bottom="0.75" header="0.3" footer="0.3"/>
  <pageSetup scale="75" orientation="landscape" r:id="rId1"/>
  <colBreaks count="1" manualBreakCount="1">
    <brk id="10" max="4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20" workbookViewId="0">
      <selection activeCell="E44" sqref="E44"/>
    </sheetView>
  </sheetViews>
  <sheetFormatPr defaultRowHeight="14.4"/>
  <cols>
    <col min="7" max="7" width="16" customWidth="1"/>
  </cols>
  <sheetData>
    <row r="1" spans="2:7">
      <c r="B1" t="s">
        <v>87</v>
      </c>
      <c r="E1" t="s">
        <v>88</v>
      </c>
    </row>
    <row r="3" spans="2:7">
      <c r="B3" s="34"/>
      <c r="C3" s="35"/>
      <c r="D3" s="35" t="s">
        <v>89</v>
      </c>
      <c r="E3" s="35"/>
      <c r="F3" s="35" t="s">
        <v>90</v>
      </c>
      <c r="G3" s="38"/>
    </row>
    <row r="4" spans="2:7">
      <c r="B4" s="37" t="s">
        <v>91</v>
      </c>
      <c r="C4" s="35"/>
      <c r="D4" s="37" t="s">
        <v>92</v>
      </c>
      <c r="E4" s="37" t="s">
        <v>93</v>
      </c>
      <c r="F4" s="37" t="s">
        <v>93</v>
      </c>
      <c r="G4" s="38"/>
    </row>
    <row r="5" spans="2:7">
      <c r="B5" s="38"/>
      <c r="C5" s="38"/>
      <c r="D5" s="38"/>
      <c r="E5" s="39"/>
      <c r="F5" s="38"/>
      <c r="G5" s="34"/>
    </row>
    <row r="6" spans="2:7">
      <c r="B6" s="34" t="s">
        <v>94</v>
      </c>
      <c r="C6" s="41"/>
      <c r="D6" s="42">
        <v>0.51500000000000001</v>
      </c>
      <c r="E6" s="43">
        <v>5.1999999999999998E-2</v>
      </c>
      <c r="F6" s="42">
        <f>ROUND(D6*E6,5)</f>
        <v>2.6780000000000002E-2</v>
      </c>
      <c r="G6" s="49" t="s">
        <v>95</v>
      </c>
    </row>
    <row r="7" spans="2:7">
      <c r="B7" s="34"/>
      <c r="C7" s="45"/>
      <c r="D7" s="42"/>
      <c r="E7" s="46"/>
      <c r="F7" s="42"/>
      <c r="G7" s="50">
        <f>SUM(F6:F7)</f>
        <v>2.6780000000000002E-2</v>
      </c>
    </row>
    <row r="8" spans="2:7">
      <c r="B8" s="34" t="s">
        <v>96</v>
      </c>
      <c r="C8" s="45"/>
      <c r="D8" s="42">
        <v>0.48499999999999999</v>
      </c>
      <c r="E8" s="46">
        <v>9.5000000000000001E-2</v>
      </c>
      <c r="F8" s="42">
        <f>ROUND(D8*E8,4)</f>
        <v>4.6100000000000002E-2</v>
      </c>
      <c r="G8" s="34"/>
    </row>
    <row r="9" spans="2:7">
      <c r="B9" s="34"/>
      <c r="C9" s="45"/>
      <c r="D9" s="47"/>
      <c r="E9" s="43"/>
      <c r="F9" s="42"/>
      <c r="G9" s="38"/>
    </row>
    <row r="10" spans="2:7" ht="15" thickBot="1">
      <c r="B10" s="34" t="s">
        <v>71</v>
      </c>
      <c r="C10" s="41"/>
      <c r="D10" s="48">
        <f>SUM(D6:D8)</f>
        <v>1</v>
      </c>
      <c r="E10" s="43"/>
      <c r="F10" s="48">
        <f>SUM(F6:F8)</f>
        <v>7.288E-2</v>
      </c>
      <c r="G10" s="38"/>
    </row>
    <row r="11" spans="2:7" ht="15" thickTop="1">
      <c r="G11" s="51"/>
    </row>
    <row r="12" spans="2:7">
      <c r="G12" s="51"/>
    </row>
    <row r="13" spans="2:7">
      <c r="B13" t="s">
        <v>110</v>
      </c>
      <c r="G13" s="51"/>
    </row>
    <row r="14" spans="2:7">
      <c r="B14" s="34"/>
      <c r="C14" s="35"/>
      <c r="D14" s="35" t="s">
        <v>89</v>
      </c>
      <c r="E14" s="35"/>
      <c r="F14" s="35" t="s">
        <v>90</v>
      </c>
      <c r="G14" s="38"/>
    </row>
    <row r="15" spans="2:7">
      <c r="B15" s="37" t="s">
        <v>91</v>
      </c>
      <c r="C15" s="35"/>
      <c r="D15" s="37" t="s">
        <v>92</v>
      </c>
      <c r="E15" s="37" t="s">
        <v>93</v>
      </c>
      <c r="F15" s="37" t="s">
        <v>93</v>
      </c>
      <c r="G15" s="38"/>
    </row>
    <row r="16" spans="2:7">
      <c r="B16" s="38"/>
      <c r="C16" s="38"/>
      <c r="D16" s="38"/>
      <c r="E16" s="39"/>
      <c r="F16" s="38"/>
      <c r="G16" s="34"/>
    </row>
    <row r="17" spans="1:7">
      <c r="B17" s="34" t="s">
        <v>94</v>
      </c>
      <c r="C17" s="41"/>
      <c r="D17" s="42">
        <v>0.51500000000000001</v>
      </c>
      <c r="E17" s="43">
        <v>5.4609999999999999E-2</v>
      </c>
      <c r="F17" s="42">
        <f>ROUND(D17*E17,5)</f>
        <v>2.8119999999999999E-2</v>
      </c>
      <c r="G17" s="49" t="s">
        <v>95</v>
      </c>
    </row>
    <row r="18" spans="1:7">
      <c r="B18" s="34"/>
      <c r="C18" s="45"/>
      <c r="D18" s="42"/>
      <c r="E18" s="46"/>
      <c r="F18" s="42"/>
      <c r="G18" s="50">
        <f>SUM(F17:F18)</f>
        <v>2.8119999999999999E-2</v>
      </c>
    </row>
    <row r="19" spans="1:7">
      <c r="B19" s="34" t="s">
        <v>96</v>
      </c>
      <c r="C19" s="45"/>
      <c r="D19" s="42">
        <v>0.48499999999999999</v>
      </c>
      <c r="E19" s="46">
        <v>9.2399999999999996E-2</v>
      </c>
      <c r="F19" s="42">
        <f>ROUND(D19*E19,4)</f>
        <v>4.48E-2</v>
      </c>
      <c r="G19" s="34"/>
    </row>
    <row r="20" spans="1:7">
      <c r="B20" s="34"/>
      <c r="C20" s="45"/>
      <c r="D20" s="47"/>
      <c r="E20" s="43"/>
      <c r="F20" s="42"/>
      <c r="G20" s="38"/>
    </row>
    <row r="21" spans="1:7" ht="15" thickBot="1">
      <c r="B21" s="34" t="s">
        <v>71</v>
      </c>
      <c r="C21" s="41"/>
      <c r="D21" s="48">
        <f>SUM(D17:D19)</f>
        <v>1</v>
      </c>
      <c r="E21" s="43"/>
      <c r="F21" s="48">
        <f>SUM(F17:F19)</f>
        <v>7.2919999999999999E-2</v>
      </c>
      <c r="G21" s="38"/>
    </row>
    <row r="22" spans="1:7" ht="15" thickTop="1"/>
    <row r="23" spans="1:7">
      <c r="A23" s="92" t="s">
        <v>111</v>
      </c>
      <c r="B23" s="92"/>
      <c r="C23" s="92"/>
      <c r="D23" s="92"/>
      <c r="E23" s="92"/>
      <c r="F23" s="92"/>
      <c r="G23" s="92"/>
    </row>
    <row r="24" spans="1:7">
      <c r="B24" s="34"/>
    </row>
    <row r="25" spans="1:7" ht="15" thickBot="1">
      <c r="A25" t="s">
        <v>100</v>
      </c>
    </row>
    <row r="26" spans="1:7">
      <c r="A26" s="93" t="s">
        <v>97</v>
      </c>
      <c r="B26" s="94"/>
      <c r="C26" s="94"/>
      <c r="D26" s="94"/>
      <c r="E26" s="94"/>
      <c r="F26" s="94"/>
      <c r="G26" s="95"/>
    </row>
    <row r="27" spans="1:7">
      <c r="A27" s="96" t="s">
        <v>112</v>
      </c>
      <c r="B27" s="97"/>
      <c r="C27" s="97"/>
      <c r="D27" s="97"/>
      <c r="E27" s="97"/>
      <c r="F27" s="97"/>
      <c r="G27" s="98"/>
    </row>
    <row r="28" spans="1:7">
      <c r="A28" s="99" t="s">
        <v>98</v>
      </c>
      <c r="B28" s="100"/>
      <c r="C28" s="100"/>
      <c r="D28" s="100"/>
      <c r="E28" s="100"/>
      <c r="F28" s="100"/>
      <c r="G28" s="101"/>
    </row>
    <row r="29" spans="1:7" ht="15" thickBot="1">
      <c r="A29" s="99"/>
      <c r="B29" s="100"/>
      <c r="C29" s="100"/>
      <c r="D29" s="100"/>
      <c r="E29" s="100"/>
      <c r="F29" s="100"/>
      <c r="G29" s="101"/>
    </row>
    <row r="30" spans="1:7">
      <c r="A30" s="52" t="s">
        <v>99</v>
      </c>
      <c r="B30" s="53"/>
      <c r="C30" s="53"/>
      <c r="D30" s="53"/>
      <c r="E30" s="53"/>
      <c r="F30" s="53"/>
      <c r="G30" s="54"/>
    </row>
    <row r="31" spans="1:7">
      <c r="A31" s="55"/>
      <c r="B31" s="38"/>
      <c r="C31" s="38"/>
      <c r="D31" s="35"/>
      <c r="E31" s="39"/>
      <c r="F31" s="35"/>
      <c r="G31" s="36"/>
    </row>
    <row r="32" spans="1:7">
      <c r="A32" s="55"/>
      <c r="B32" s="34"/>
      <c r="C32" s="35"/>
      <c r="D32" s="35" t="s">
        <v>89</v>
      </c>
      <c r="E32" s="35"/>
      <c r="F32" s="35" t="s">
        <v>90</v>
      </c>
      <c r="G32" s="36"/>
    </row>
    <row r="33" spans="1:7">
      <c r="A33" s="55"/>
      <c r="B33" s="37" t="s">
        <v>91</v>
      </c>
      <c r="C33" s="35"/>
      <c r="D33" s="37" t="s">
        <v>92</v>
      </c>
      <c r="E33" s="37" t="s">
        <v>93</v>
      </c>
      <c r="F33" s="37" t="s">
        <v>93</v>
      </c>
      <c r="G33" s="36"/>
    </row>
    <row r="34" spans="1:7">
      <c r="A34" s="55"/>
      <c r="B34" s="38"/>
      <c r="C34" s="38"/>
      <c r="D34" s="38"/>
      <c r="E34" s="39"/>
      <c r="F34" s="38"/>
      <c r="G34" s="40"/>
    </row>
    <row r="35" spans="1:7">
      <c r="A35" s="55"/>
      <c r="B35" s="34" t="s">
        <v>94</v>
      </c>
      <c r="C35" s="41"/>
      <c r="D35" s="42">
        <v>0.52139999999999997</v>
      </c>
      <c r="E35" s="43">
        <v>5.4609999999999999E-2</v>
      </c>
      <c r="F35" s="42">
        <f>ROUND(D35*E35,5)</f>
        <v>2.8469999999999999E-2</v>
      </c>
      <c r="G35" s="44" t="s">
        <v>95</v>
      </c>
    </row>
    <row r="36" spans="1:7">
      <c r="A36" s="55"/>
      <c r="B36" s="34"/>
      <c r="C36" s="45"/>
      <c r="D36" s="42"/>
      <c r="E36" s="46"/>
      <c r="F36" s="42"/>
      <c r="G36" s="56">
        <f>SUM(F35:F36)</f>
        <v>2.8469999999999999E-2</v>
      </c>
    </row>
    <row r="37" spans="1:7">
      <c r="A37" s="55"/>
      <c r="B37" s="34" t="s">
        <v>96</v>
      </c>
      <c r="C37" s="45"/>
      <c r="D37" s="42">
        <f>100%-D35</f>
        <v>0.47860000000000003</v>
      </c>
      <c r="E37" s="46">
        <v>9.5000000000000001E-2</v>
      </c>
      <c r="F37" s="42">
        <f>ROUND(D37*E37,4)</f>
        <v>4.5499999999999999E-2</v>
      </c>
      <c r="G37" s="40"/>
    </row>
    <row r="38" spans="1:7">
      <c r="A38" s="55"/>
      <c r="B38" s="34"/>
      <c r="C38" s="45"/>
      <c r="D38" s="47"/>
      <c r="E38" s="43"/>
      <c r="F38" s="42"/>
      <c r="G38" s="36"/>
    </row>
    <row r="39" spans="1:7" ht="15" thickBot="1">
      <c r="A39" s="55"/>
      <c r="B39" s="34" t="s">
        <v>71</v>
      </c>
      <c r="C39" s="41"/>
      <c r="D39" s="48">
        <f>SUM(D35:D37)</f>
        <v>1</v>
      </c>
      <c r="E39" s="43"/>
      <c r="F39" s="48">
        <f>SUM(F35:F37)</f>
        <v>7.3969999999999994E-2</v>
      </c>
      <c r="G39" s="36"/>
    </row>
    <row r="40" spans="1:7" ht="15.6" thickTop="1" thickBot="1">
      <c r="A40" s="57"/>
      <c r="B40" s="58"/>
      <c r="C40" s="59"/>
      <c r="D40" s="60"/>
      <c r="E40" s="61"/>
      <c r="F40" s="60"/>
      <c r="G40" s="62"/>
    </row>
    <row r="42" spans="1:7" ht="60.6" customHeight="1">
      <c r="A42" s="91" t="s">
        <v>113</v>
      </c>
      <c r="B42" s="91"/>
      <c r="C42" s="91"/>
      <c r="D42" s="91"/>
      <c r="E42" s="91"/>
      <c r="F42" s="91"/>
      <c r="G42" s="91"/>
    </row>
  </sheetData>
  <mergeCells count="6">
    <mergeCell ref="A42:G42"/>
    <mergeCell ref="A23:G23"/>
    <mergeCell ref="A26:G26"/>
    <mergeCell ref="A27:G27"/>
    <mergeCell ref="A28:G28"/>
    <mergeCell ref="A29:G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opLeftCell="A14" workbookViewId="0">
      <selection activeCell="F29" sqref="F29"/>
    </sheetView>
  </sheetViews>
  <sheetFormatPr defaultRowHeight="14.4"/>
  <cols>
    <col min="1" max="1" width="7.88671875" customWidth="1"/>
    <col min="2" max="2" width="16.88671875" customWidth="1"/>
    <col min="3" max="3" width="13.21875" bestFit="1" customWidth="1"/>
    <col min="4" max="4" width="14.5546875" customWidth="1"/>
    <col min="5" max="5" width="9.5546875" customWidth="1"/>
    <col min="6" max="6" width="12.88671875" customWidth="1"/>
    <col min="7" max="7" width="11.88671875" customWidth="1"/>
    <col min="8" max="8" width="2.77734375" customWidth="1"/>
  </cols>
  <sheetData>
    <row r="1" spans="1:15">
      <c r="A1" t="s">
        <v>34</v>
      </c>
    </row>
    <row r="2" spans="1:15">
      <c r="A2" t="s">
        <v>48</v>
      </c>
    </row>
    <row r="3" spans="1:15">
      <c r="A3" t="s">
        <v>109</v>
      </c>
    </row>
    <row r="6" spans="1:15">
      <c r="A6" t="s">
        <v>72</v>
      </c>
    </row>
    <row r="8" spans="1:15">
      <c r="A8" s="18" t="s">
        <v>41</v>
      </c>
      <c r="B8" t="s">
        <v>42</v>
      </c>
    </row>
    <row r="9" spans="1:15" ht="27.6" customHeight="1">
      <c r="A9" s="91" t="s">
        <v>55</v>
      </c>
      <c r="B9" s="91"/>
      <c r="C9" s="91"/>
      <c r="D9" s="91"/>
      <c r="E9" s="91"/>
      <c r="F9" s="91"/>
      <c r="G9" s="91"/>
      <c r="H9" s="91"/>
    </row>
    <row r="10" spans="1:15" ht="14.4" customHeight="1">
      <c r="A10" s="16"/>
      <c r="B10" s="16"/>
      <c r="C10" s="16"/>
      <c r="D10" s="16"/>
      <c r="E10" s="16"/>
      <c r="F10" s="16"/>
      <c r="G10" s="16"/>
      <c r="H10" s="16"/>
    </row>
    <row r="11" spans="1:15" ht="15" customHeight="1">
      <c r="A11" s="18" t="s">
        <v>43</v>
      </c>
      <c r="B11" s="19" t="s">
        <v>44</v>
      </c>
      <c r="C11" s="16"/>
      <c r="D11" s="16"/>
      <c r="E11" s="16"/>
      <c r="F11" s="16"/>
      <c r="G11" s="16"/>
      <c r="H11" s="16"/>
    </row>
    <row r="12" spans="1:15" ht="28.2" customHeight="1">
      <c r="A12" s="91" t="s">
        <v>45</v>
      </c>
      <c r="B12" s="91"/>
      <c r="C12" s="91"/>
      <c r="D12" s="91"/>
      <c r="E12" s="91"/>
      <c r="F12" s="91"/>
      <c r="G12" s="91"/>
      <c r="H12" s="91"/>
      <c r="O12" s="30"/>
    </row>
    <row r="13" spans="1:15" ht="21.6" customHeight="1">
      <c r="B13" s="13" t="s">
        <v>54</v>
      </c>
      <c r="C13" s="13"/>
      <c r="D13" s="13" t="s">
        <v>38</v>
      </c>
      <c r="E13" s="13"/>
      <c r="F13" s="13" t="s">
        <v>39</v>
      </c>
    </row>
    <row r="14" spans="1:15">
      <c r="B14" t="s">
        <v>35</v>
      </c>
      <c r="C14" s="13"/>
      <c r="D14" s="10">
        <v>-1051429</v>
      </c>
      <c r="E14" s="13"/>
      <c r="F14" s="10">
        <v>-2368271</v>
      </c>
    </row>
    <row r="15" spans="1:15">
      <c r="D15" s="3"/>
    </row>
    <row r="16" spans="1:15">
      <c r="A16" s="18" t="s">
        <v>47</v>
      </c>
      <c r="B16" t="s">
        <v>46</v>
      </c>
      <c r="D16" s="3"/>
    </row>
    <row r="17" spans="1:8" ht="61.8" customHeight="1">
      <c r="A17" s="102" t="s">
        <v>74</v>
      </c>
      <c r="B17" s="102"/>
      <c r="C17" s="102"/>
      <c r="D17" s="102"/>
      <c r="E17" s="102"/>
      <c r="F17" s="102"/>
      <c r="G17" s="102"/>
      <c r="H17" s="102"/>
    </row>
    <row r="18" spans="1:8" ht="7.2" customHeight="1"/>
    <row r="19" spans="1:8" ht="28.8" customHeight="1">
      <c r="A19" s="91" t="s">
        <v>40</v>
      </c>
      <c r="B19" s="91"/>
      <c r="C19" s="91"/>
      <c r="D19" s="91"/>
      <c r="E19" s="91"/>
      <c r="F19" s="91"/>
      <c r="G19" s="91"/>
      <c r="H19" s="91"/>
    </row>
    <row r="21" spans="1:8">
      <c r="A21" s="18" t="s">
        <v>75</v>
      </c>
      <c r="B21" t="s">
        <v>76</v>
      </c>
    </row>
    <row r="22" spans="1:8" ht="45.6" customHeight="1">
      <c r="A22" s="91" t="s">
        <v>77</v>
      </c>
      <c r="B22" s="91"/>
      <c r="C22" s="91"/>
      <c r="D22" s="91"/>
      <c r="E22" s="91"/>
      <c r="F22" s="91"/>
      <c r="G22" s="91"/>
      <c r="H22" s="91"/>
    </row>
    <row r="23" spans="1:8">
      <c r="B23" s="29" t="s">
        <v>76</v>
      </c>
      <c r="C23" s="29"/>
      <c r="D23" s="29" t="s">
        <v>38</v>
      </c>
      <c r="E23" s="29"/>
      <c r="F23" s="29" t="s">
        <v>39</v>
      </c>
    </row>
    <row r="24" spans="1:8">
      <c r="B24" s="29"/>
      <c r="C24" s="29"/>
      <c r="D24" s="29" t="s">
        <v>86</v>
      </c>
      <c r="E24" s="29"/>
      <c r="F24" s="29" t="s">
        <v>86</v>
      </c>
    </row>
    <row r="25" spans="1:8">
      <c r="B25" t="s">
        <v>78</v>
      </c>
      <c r="C25" s="29"/>
      <c r="D25" s="10">
        <v>1513706</v>
      </c>
      <c r="E25" s="29"/>
      <c r="F25" s="10">
        <v>313174</v>
      </c>
    </row>
    <row r="26" spans="1:8">
      <c r="B26" t="s">
        <v>79</v>
      </c>
      <c r="D26" s="22">
        <f>1-0.485</f>
        <v>0.51500000000000001</v>
      </c>
      <c r="F26" s="22">
        <f>1-0.485</f>
        <v>0.51500000000000001</v>
      </c>
    </row>
    <row r="27" spans="1:8">
      <c r="B27" t="s">
        <v>80</v>
      </c>
      <c r="D27" s="32">
        <v>5.4609999999999999E-2</v>
      </c>
      <c r="F27" s="32">
        <v>5.4609999999999999E-2</v>
      </c>
    </row>
    <row r="28" spans="1:8">
      <c r="B28" t="s">
        <v>81</v>
      </c>
      <c r="D28" s="14">
        <f>D25*ROUND(D26*D27,5)</f>
        <v>42565.41272</v>
      </c>
      <c r="E28" s="14"/>
      <c r="F28" s="14">
        <f>F25*ROUND(F26*F27,5)</f>
        <v>8806.4528799999989</v>
      </c>
      <c r="G28" s="14"/>
    </row>
    <row r="29" spans="1:8">
      <c r="B29" t="s">
        <v>82</v>
      </c>
      <c r="D29" s="14">
        <v>43095</v>
      </c>
      <c r="F29" s="14">
        <v>8916</v>
      </c>
    </row>
    <row r="30" spans="1:8">
      <c r="B30" t="s">
        <v>83</v>
      </c>
      <c r="D30" s="14">
        <f>D28-D29</f>
        <v>-529.58727999999974</v>
      </c>
      <c r="F30" s="14">
        <f>F28-F29</f>
        <v>-109.54712000000109</v>
      </c>
    </row>
    <row r="31" spans="1:8">
      <c r="B31" t="s">
        <v>84</v>
      </c>
      <c r="D31" s="33">
        <v>-0.35</v>
      </c>
      <c r="E31" s="29"/>
      <c r="F31" s="33">
        <v>-0.35</v>
      </c>
    </row>
    <row r="32" spans="1:8">
      <c r="B32" t="s">
        <v>85</v>
      </c>
      <c r="D32" s="11">
        <f>D30*D31</f>
        <v>185.35554799999989</v>
      </c>
      <c r="F32" s="11">
        <f>F30*F31</f>
        <v>38.341492000000379</v>
      </c>
    </row>
  </sheetData>
  <mergeCells count="5">
    <mergeCell ref="A22:H22"/>
    <mergeCell ref="A17:H17"/>
    <mergeCell ref="A9:H9"/>
    <mergeCell ref="A19:H19"/>
    <mergeCell ref="A12:H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2"/>
  <sheetViews>
    <sheetView tabSelected="1" topLeftCell="A17" zoomScaleNormal="100" workbookViewId="0">
      <selection activeCell="B43" sqref="B43"/>
    </sheetView>
  </sheetViews>
  <sheetFormatPr defaultRowHeight="14.4" outlineLevelRow="1"/>
  <cols>
    <col min="1" max="1" width="5.21875" customWidth="1"/>
    <col min="2" max="2" width="21.77734375" customWidth="1"/>
    <col min="4" max="4" width="15.21875" customWidth="1"/>
    <col min="5" max="6" width="13.77734375" customWidth="1"/>
    <col min="7" max="7" width="12.88671875" customWidth="1"/>
    <col min="9" max="9" width="9.44140625" customWidth="1"/>
    <col min="10" max="10" width="3.88671875" customWidth="1"/>
    <col min="11" max="11" width="16.6640625" customWidth="1"/>
    <col min="12" max="12" width="14.77734375" customWidth="1"/>
    <col min="13" max="13" width="12.77734375" customWidth="1"/>
    <col min="14" max="14" width="16.5546875" customWidth="1"/>
    <col min="15" max="15" width="22.109375" customWidth="1"/>
    <col min="16" max="16" width="18.5546875" customWidth="1"/>
    <col min="17" max="17" width="18.6640625" customWidth="1"/>
    <col min="18" max="18" width="13.88671875" customWidth="1"/>
    <col min="19" max="19" width="13.21875" customWidth="1"/>
  </cols>
  <sheetData>
    <row r="1" spans="1:14">
      <c r="B1" s="92" t="s">
        <v>56</v>
      </c>
      <c r="C1" s="92"/>
      <c r="D1" s="92"/>
      <c r="E1" s="92"/>
      <c r="F1" s="92"/>
      <c r="G1" s="92"/>
      <c r="I1" s="104" t="s">
        <v>97</v>
      </c>
      <c r="J1" s="104"/>
      <c r="K1" s="104"/>
      <c r="L1" s="104"/>
      <c r="M1" s="104"/>
      <c r="N1" s="104"/>
    </row>
    <row r="2" spans="1:14">
      <c r="B2" s="92" t="s">
        <v>73</v>
      </c>
      <c r="C2" s="92"/>
      <c r="D2" s="92"/>
      <c r="E2" s="92"/>
      <c r="F2" s="92"/>
      <c r="G2" s="92"/>
      <c r="I2" s="104" t="s">
        <v>122</v>
      </c>
      <c r="J2" s="104"/>
      <c r="K2" s="104"/>
      <c r="L2" s="104"/>
      <c r="M2" s="104"/>
      <c r="N2" s="104"/>
    </row>
    <row r="3" spans="1:14">
      <c r="B3" s="69"/>
      <c r="C3" s="69"/>
      <c r="D3" s="69" t="s">
        <v>105</v>
      </c>
      <c r="E3" s="69"/>
      <c r="F3" s="69"/>
      <c r="G3" s="69"/>
      <c r="I3" s="104" t="s">
        <v>105</v>
      </c>
      <c r="J3" s="104"/>
      <c r="K3" s="104"/>
      <c r="L3" s="104"/>
      <c r="M3" s="104"/>
      <c r="N3" s="104"/>
    </row>
    <row r="4" spans="1:14">
      <c r="B4" s="92" t="s">
        <v>106</v>
      </c>
      <c r="C4" s="92"/>
      <c r="D4" s="92"/>
      <c r="E4" s="92"/>
      <c r="F4" s="92"/>
      <c r="G4" s="92"/>
      <c r="I4" s="104" t="s">
        <v>136</v>
      </c>
      <c r="J4" s="104"/>
      <c r="K4" s="104"/>
      <c r="L4" s="104"/>
      <c r="M4" s="104"/>
      <c r="N4" s="104"/>
    </row>
    <row r="5" spans="1:14">
      <c r="I5" s="71"/>
      <c r="J5" s="71"/>
      <c r="K5" s="71"/>
      <c r="L5" s="71"/>
      <c r="M5" s="72"/>
    </row>
    <row r="6" spans="1:14">
      <c r="B6" s="105" t="s">
        <v>107</v>
      </c>
      <c r="C6" s="105"/>
      <c r="D6" s="105"/>
      <c r="E6" s="105"/>
      <c r="F6" s="105"/>
      <c r="G6" s="105"/>
      <c r="I6" s="73" t="s">
        <v>123</v>
      </c>
      <c r="J6" s="73"/>
      <c r="K6" s="73"/>
      <c r="L6" s="73"/>
      <c r="M6" s="74" t="s">
        <v>137</v>
      </c>
      <c r="N6" s="74" t="s">
        <v>138</v>
      </c>
    </row>
    <row r="7" spans="1:14">
      <c r="I7" s="75" t="s">
        <v>124</v>
      </c>
      <c r="J7" s="73"/>
      <c r="K7" s="75" t="s">
        <v>125</v>
      </c>
      <c r="L7" s="76"/>
      <c r="M7" s="77" t="s">
        <v>126</v>
      </c>
      <c r="N7" s="77" t="s">
        <v>126</v>
      </c>
    </row>
    <row r="8" spans="1:14">
      <c r="A8" t="s">
        <v>117</v>
      </c>
      <c r="D8" s="13" t="s">
        <v>38</v>
      </c>
      <c r="E8" s="13"/>
      <c r="F8" s="13" t="s">
        <v>39</v>
      </c>
      <c r="G8" s="13"/>
      <c r="I8" s="71"/>
      <c r="J8" s="71"/>
      <c r="K8" s="71"/>
      <c r="L8" s="71"/>
      <c r="M8" s="72"/>
    </row>
    <row r="9" spans="1:14">
      <c r="I9" s="78">
        <v>1</v>
      </c>
      <c r="J9" s="71"/>
      <c r="K9" s="79" t="s">
        <v>127</v>
      </c>
      <c r="L9" s="71"/>
      <c r="M9" s="80">
        <v>1</v>
      </c>
      <c r="N9" s="80">
        <v>1</v>
      </c>
    </row>
    <row r="10" spans="1:14">
      <c r="A10" s="70">
        <v>1</v>
      </c>
      <c r="B10" t="s">
        <v>57</v>
      </c>
      <c r="D10" s="21">
        <v>1513706000</v>
      </c>
      <c r="F10" s="21">
        <v>313174000</v>
      </c>
      <c r="G10" s="21"/>
      <c r="I10" s="78"/>
      <c r="J10" s="71"/>
      <c r="K10" s="71"/>
      <c r="L10" s="71"/>
      <c r="M10" s="80"/>
      <c r="N10" s="80"/>
    </row>
    <row r="11" spans="1:14">
      <c r="A11" s="70"/>
      <c r="I11" s="78"/>
      <c r="J11" s="71"/>
      <c r="K11" s="81" t="s">
        <v>128</v>
      </c>
      <c r="L11" s="82"/>
      <c r="M11" s="80"/>
      <c r="N11" s="80"/>
    </row>
    <row r="12" spans="1:14">
      <c r="A12" s="70">
        <v>2</v>
      </c>
      <c r="B12" t="s">
        <v>58</v>
      </c>
      <c r="D12" s="21">
        <v>112202000</v>
      </c>
      <c r="F12" s="21">
        <v>26057000</v>
      </c>
      <c r="G12" s="21"/>
      <c r="I12" s="78">
        <v>2</v>
      </c>
      <c r="J12" s="71"/>
      <c r="K12" s="82" t="s">
        <v>129</v>
      </c>
      <c r="L12" s="82"/>
      <c r="M12" s="83">
        <v>5.0109999999999998E-3</v>
      </c>
      <c r="N12" s="83">
        <v>5.012E-3</v>
      </c>
    </row>
    <row r="13" spans="1:14">
      <c r="A13" s="70"/>
      <c r="D13" s="21"/>
      <c r="I13" s="78"/>
      <c r="J13" s="71"/>
      <c r="K13" s="82"/>
      <c r="L13" s="82"/>
      <c r="M13" s="83"/>
      <c r="N13" s="83"/>
    </row>
    <row r="14" spans="1:14">
      <c r="A14" s="70">
        <v>3</v>
      </c>
      <c r="B14" t="s">
        <v>59</v>
      </c>
      <c r="D14" s="22">
        <f>D12/D10</f>
        <v>7.4124037296542392E-2</v>
      </c>
      <c r="F14" s="22">
        <f>F12/F10</f>
        <v>8.3202947882008091E-2</v>
      </c>
      <c r="G14" s="22"/>
      <c r="I14" s="78">
        <v>3</v>
      </c>
      <c r="J14" s="71"/>
      <c r="K14" s="82" t="s">
        <v>130</v>
      </c>
      <c r="L14" s="82"/>
      <c r="M14" s="83">
        <v>2E-3</v>
      </c>
      <c r="N14" s="83">
        <v>2E-3</v>
      </c>
    </row>
    <row r="15" spans="1:14">
      <c r="A15" s="70">
        <v>4</v>
      </c>
      <c r="B15" t="s">
        <v>60</v>
      </c>
      <c r="D15" s="22">
        <v>7.2900000000000006E-2</v>
      </c>
      <c r="F15" s="22">
        <v>7.2900000000000006E-2</v>
      </c>
      <c r="G15" s="22"/>
      <c r="I15" s="78"/>
      <c r="J15" s="71"/>
      <c r="K15" s="82"/>
      <c r="L15" s="82"/>
      <c r="M15" s="83"/>
      <c r="N15" s="83"/>
    </row>
    <row r="16" spans="1:14">
      <c r="A16" s="70">
        <v>5</v>
      </c>
      <c r="B16" t="s">
        <v>61</v>
      </c>
      <c r="D16" s="23">
        <f>D14-D15</f>
        <v>1.2240372965423851E-3</v>
      </c>
      <c r="F16" s="23">
        <f>F14-F15</f>
        <v>1.0302947882008084E-2</v>
      </c>
      <c r="G16" s="23"/>
      <c r="I16" s="78">
        <v>4</v>
      </c>
      <c r="J16" s="71"/>
      <c r="K16" s="82" t="s">
        <v>131</v>
      </c>
      <c r="L16" s="82"/>
      <c r="M16" s="83">
        <v>3.8539999999999998E-2</v>
      </c>
      <c r="N16" s="83">
        <v>3.8327E-2</v>
      </c>
    </row>
    <row r="17" spans="1:14">
      <c r="A17" s="70"/>
      <c r="I17" s="78"/>
      <c r="J17" s="71"/>
      <c r="K17" s="82"/>
      <c r="L17" s="82"/>
      <c r="M17" s="82"/>
      <c r="N17" s="82"/>
    </row>
    <row r="18" spans="1:14">
      <c r="A18" s="70">
        <v>6</v>
      </c>
      <c r="B18" t="s">
        <v>62</v>
      </c>
      <c r="D18" s="21">
        <f>IF(D16&gt;0,D10*D16,0)</f>
        <v>1852832.5999999875</v>
      </c>
      <c r="F18" s="21">
        <f>IF(F16&gt;0,F10*F16,0)</f>
        <v>3226615.4</v>
      </c>
      <c r="G18" s="21"/>
      <c r="I18" s="78">
        <v>5</v>
      </c>
      <c r="J18" s="71"/>
      <c r="K18" s="82" t="s">
        <v>132</v>
      </c>
      <c r="L18" s="82"/>
      <c r="M18" s="84">
        <f>SUM(M12:M17)</f>
        <v>4.5550999999999994E-2</v>
      </c>
      <c r="N18" s="84">
        <f>SUM(N12:N17)</f>
        <v>4.5338999999999997E-2</v>
      </c>
    </row>
    <row r="19" spans="1:14">
      <c r="A19" s="70">
        <v>7</v>
      </c>
      <c r="B19" t="s">
        <v>63</v>
      </c>
      <c r="D19" s="24">
        <f>M24</f>
        <v>0.62039200000000005</v>
      </c>
      <c r="F19" s="24">
        <f>N24</f>
        <v>0.62053000000000003</v>
      </c>
      <c r="G19" s="24"/>
      <c r="I19" s="71"/>
      <c r="J19" s="71"/>
      <c r="K19" s="82"/>
      <c r="L19" s="82"/>
      <c r="M19" s="85"/>
      <c r="N19" s="85"/>
    </row>
    <row r="20" spans="1:14">
      <c r="A20" s="70">
        <v>8</v>
      </c>
      <c r="B20" t="s">
        <v>64</v>
      </c>
      <c r="D20" s="21">
        <f>D18/D19</f>
        <v>2986551.4062076677</v>
      </c>
      <c r="F20" s="21">
        <f>F18/F19</f>
        <v>5199773.4194962364</v>
      </c>
      <c r="G20" s="21"/>
      <c r="H20" s="21"/>
      <c r="I20" s="78">
        <v>6</v>
      </c>
      <c r="J20" s="71"/>
      <c r="K20" s="82" t="s">
        <v>133</v>
      </c>
      <c r="L20" s="82"/>
      <c r="M20" s="85">
        <f>M9-M18</f>
        <v>0.95444899999999999</v>
      </c>
      <c r="N20" s="85">
        <f>N9-N18</f>
        <v>0.95466099999999998</v>
      </c>
    </row>
    <row r="21" spans="1:14">
      <c r="A21" s="70">
        <v>9</v>
      </c>
      <c r="B21" t="s">
        <v>65</v>
      </c>
      <c r="D21" s="25">
        <v>0.5</v>
      </c>
      <c r="F21" s="25">
        <v>0.5</v>
      </c>
      <c r="G21" s="25"/>
      <c r="I21" s="71"/>
      <c r="J21" s="71"/>
      <c r="K21" s="82"/>
      <c r="L21" s="82"/>
      <c r="M21" s="85"/>
      <c r="N21" s="85"/>
    </row>
    <row r="22" spans="1:14">
      <c r="A22" s="70">
        <v>10</v>
      </c>
      <c r="B22" t="s">
        <v>108</v>
      </c>
      <c r="D22" s="27">
        <f>D20*D21</f>
        <v>1493275.7031038338</v>
      </c>
      <c r="E22" s="51"/>
      <c r="F22" s="27">
        <f>F20*F21</f>
        <v>2599886.7097481182</v>
      </c>
      <c r="G22" s="27"/>
      <c r="I22" s="78">
        <v>7</v>
      </c>
      <c r="J22" s="71"/>
      <c r="K22" s="82" t="s">
        <v>134</v>
      </c>
      <c r="L22" s="86"/>
      <c r="M22" s="87">
        <f>ROUND(M20*0.35,6)</f>
        <v>0.33405699999999999</v>
      </c>
      <c r="N22" s="87">
        <f>ROUND(N20*0.35,6)</f>
        <v>0.33413100000000001</v>
      </c>
    </row>
    <row r="23" spans="1:14">
      <c r="A23" s="70"/>
      <c r="I23" s="71"/>
      <c r="J23" s="71"/>
      <c r="K23" s="82"/>
      <c r="L23" s="82"/>
      <c r="M23" s="85"/>
      <c r="N23" s="85"/>
    </row>
    <row r="24" spans="1:14" ht="15" outlineLevel="1" thickBot="1">
      <c r="A24" s="70"/>
      <c r="B24" s="105" t="s">
        <v>118</v>
      </c>
      <c r="C24" s="105"/>
      <c r="D24" s="105"/>
      <c r="E24" s="105"/>
      <c r="F24" s="105"/>
      <c r="G24" s="105"/>
      <c r="I24" s="78">
        <v>8</v>
      </c>
      <c r="J24" s="71"/>
      <c r="K24" s="81" t="s">
        <v>135</v>
      </c>
      <c r="L24" s="82"/>
      <c r="M24" s="88">
        <f>ROUND(M20-M22,6)</f>
        <v>0.62039200000000005</v>
      </c>
      <c r="N24" s="88">
        <f>ROUND(N20-N22,6)</f>
        <v>0.62053000000000003</v>
      </c>
    </row>
    <row r="25" spans="1:14" ht="15" outlineLevel="1" thickTop="1">
      <c r="A25" s="70"/>
    </row>
    <row r="26" spans="1:14" outlineLevel="1">
      <c r="A26" s="70">
        <v>11</v>
      </c>
      <c r="B26" t="s">
        <v>66</v>
      </c>
      <c r="D26" s="67">
        <v>231219047</v>
      </c>
      <c r="E26" s="22">
        <f>D26/D30</f>
        <v>0.51086787618577922</v>
      </c>
      <c r="F26" s="67">
        <v>104202001</v>
      </c>
      <c r="G26" s="22">
        <f>F26/F30</f>
        <v>0.77110788107145889</v>
      </c>
    </row>
    <row r="27" spans="1:14" outlineLevel="1">
      <c r="A27" s="70"/>
      <c r="D27" s="2"/>
      <c r="F27" s="2"/>
      <c r="H27" s="22"/>
    </row>
    <row r="28" spans="1:14" outlineLevel="1">
      <c r="A28" s="70">
        <v>12</v>
      </c>
      <c r="B28" t="s">
        <v>67</v>
      </c>
      <c r="D28" s="67">
        <v>221381435</v>
      </c>
      <c r="E28" s="22">
        <f>D28/D30</f>
        <v>0.48913212381422078</v>
      </c>
      <c r="F28" s="67">
        <v>30930843</v>
      </c>
      <c r="G28" s="22">
        <f>F28/F30</f>
        <v>0.22889211892854117</v>
      </c>
      <c r="H28" s="68"/>
      <c r="I28" s="66"/>
    </row>
    <row r="29" spans="1:14" outlineLevel="1">
      <c r="A29" s="70"/>
      <c r="H29" s="22"/>
      <c r="I29" s="66"/>
    </row>
    <row r="30" spans="1:14" outlineLevel="1">
      <c r="A30" s="70">
        <v>13</v>
      </c>
      <c r="B30" t="s">
        <v>68</v>
      </c>
      <c r="D30" s="21">
        <f>D26+D28</f>
        <v>452600482</v>
      </c>
      <c r="E30" s="23">
        <f>E26+E28</f>
        <v>1</v>
      </c>
      <c r="F30" s="21">
        <f>F26+F28</f>
        <v>135132844</v>
      </c>
      <c r="G30" s="23">
        <f>G26+G28</f>
        <v>1</v>
      </c>
      <c r="H30" s="23"/>
      <c r="I30" s="66"/>
    </row>
    <row r="31" spans="1:14" outlineLevel="1">
      <c r="A31" s="70"/>
    </row>
    <row r="32" spans="1:14" ht="61.2" customHeight="1" outlineLevel="1">
      <c r="A32" s="70"/>
      <c r="B32" s="1" t="s">
        <v>119</v>
      </c>
      <c r="D32" s="31" t="s">
        <v>120</v>
      </c>
      <c r="E32" s="31" t="s">
        <v>121</v>
      </c>
      <c r="F32" s="31" t="s">
        <v>120</v>
      </c>
      <c r="G32" s="31" t="s">
        <v>121</v>
      </c>
      <c r="H32" s="68"/>
      <c r="I32" s="66"/>
    </row>
    <row r="33" spans="1:7" outlineLevel="1">
      <c r="A33" s="70">
        <v>14</v>
      </c>
      <c r="B33" t="s">
        <v>69</v>
      </c>
      <c r="D33" s="21">
        <f>D22*E26</f>
        <v>762866.58700448181</v>
      </c>
      <c r="E33" s="21">
        <f>ROUND(D33*$M$20,0)</f>
        <v>728117</v>
      </c>
      <c r="F33" s="21">
        <f>F22*G26</f>
        <v>2004793.1317797184</v>
      </c>
      <c r="G33" s="21">
        <f>ROUND(F33*$N$20,0)</f>
        <v>1913898</v>
      </c>
    </row>
    <row r="34" spans="1:7" ht="15" outlineLevel="1" thickBot="1">
      <c r="A34" s="70">
        <v>15</v>
      </c>
      <c r="B34" t="s">
        <v>70</v>
      </c>
      <c r="D34" s="21">
        <f>D22*E28</f>
        <v>730409.11609935202</v>
      </c>
      <c r="E34" s="21">
        <f>ROUND(D34*$M$20,0)</f>
        <v>697138</v>
      </c>
      <c r="F34" s="21">
        <f>F22*G28</f>
        <v>595093.57796839986</v>
      </c>
      <c r="G34" s="21">
        <f>ROUND(F34*$N$20,0)</f>
        <v>568113</v>
      </c>
    </row>
    <row r="35" spans="1:7" ht="15.6" outlineLevel="1" thickTop="1" thickBot="1">
      <c r="A35" s="70">
        <v>16</v>
      </c>
      <c r="B35" t="s">
        <v>71</v>
      </c>
      <c r="D35" s="89">
        <f>SUM(D33:D34)</f>
        <v>1493275.7031038338</v>
      </c>
      <c r="E35" s="26">
        <f>SUM(E33:E34)</f>
        <v>1425255</v>
      </c>
      <c r="F35" s="89">
        <f>SUM(F33:F34)</f>
        <v>2599886.7097481182</v>
      </c>
      <c r="G35" s="26">
        <f>SUM(G33:G34)</f>
        <v>2482011</v>
      </c>
    </row>
    <row r="36" spans="1:7" ht="15" thickTop="1">
      <c r="A36" s="70"/>
    </row>
    <row r="37" spans="1:7">
      <c r="A37" s="70">
        <v>17</v>
      </c>
      <c r="B37" t="s">
        <v>139</v>
      </c>
      <c r="E37" s="3">
        <v>1051429</v>
      </c>
      <c r="F37" s="3"/>
      <c r="G37" s="3">
        <v>2368271</v>
      </c>
    </row>
    <row r="38" spans="1:7" ht="15" thickBot="1">
      <c r="A38" s="90">
        <v>18</v>
      </c>
      <c r="B38" s="106" t="s">
        <v>141</v>
      </c>
      <c r="E38" s="3">
        <v>373827</v>
      </c>
      <c r="F38" s="3"/>
      <c r="G38" s="3">
        <v>113740</v>
      </c>
    </row>
    <row r="39" spans="1:7" ht="15.6" thickTop="1" thickBot="1">
      <c r="A39" s="70">
        <v>18</v>
      </c>
      <c r="B39" s="1" t="s">
        <v>140</v>
      </c>
      <c r="E39" s="26">
        <f>E35-E37-E38</f>
        <v>-1</v>
      </c>
      <c r="F39" s="1"/>
      <c r="G39" s="26">
        <f>G35-G37-G38</f>
        <v>0</v>
      </c>
    </row>
    <row r="40" spans="1:7" ht="15" thickTop="1">
      <c r="D40" s="3"/>
      <c r="F40" s="3"/>
    </row>
    <row r="42" spans="1:7" ht="30.6" customHeight="1">
      <c r="B42" s="103" t="s">
        <v>142</v>
      </c>
      <c r="C42" s="103"/>
      <c r="D42" s="103"/>
      <c r="E42" s="103"/>
      <c r="F42" s="103"/>
      <c r="G42" s="103"/>
    </row>
    <row r="43" spans="1:7">
      <c r="D43" s="28"/>
      <c r="F43" s="28"/>
    </row>
    <row r="44" spans="1:7">
      <c r="D44" s="28"/>
      <c r="F44" s="28"/>
    </row>
    <row r="47" spans="1:7">
      <c r="D47" s="28"/>
      <c r="F47" s="28"/>
    </row>
    <row r="48" spans="1:7" ht="9" customHeight="1">
      <c r="D48" s="28"/>
      <c r="F48" s="28"/>
    </row>
    <row r="50" spans="4:6" ht="14.4" customHeight="1"/>
    <row r="51" spans="4:6">
      <c r="D51" s="28"/>
      <c r="F51" s="28"/>
    </row>
    <row r="52" spans="4:6">
      <c r="D52" s="28"/>
      <c r="F52" s="28"/>
    </row>
  </sheetData>
  <mergeCells count="10">
    <mergeCell ref="B42:G42"/>
    <mergeCell ref="I1:N1"/>
    <mergeCell ref="I2:N2"/>
    <mergeCell ref="I3:N3"/>
    <mergeCell ref="I4:N4"/>
    <mergeCell ref="B24:G24"/>
    <mergeCell ref="B1:G1"/>
    <mergeCell ref="B2:G2"/>
    <mergeCell ref="B4:G4"/>
    <mergeCell ref="B6:G6"/>
  </mergeCells>
  <printOptions horizontalCentered="1"/>
  <pageMargins left="0.7" right="0.7" top="0.71" bottom="0.75" header="0.3" footer="0.3"/>
  <pageSetup scale="98" orientation="portrait" r:id="rId1"/>
  <headerFooter>
    <oddFooter>&amp;L&amp;F /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AF76D97CE6385419569574D0F429477" ma:contentTypeVersion="76" ma:contentTypeDescription="" ma:contentTypeScope="" ma:versionID="c4ea5ede09f6f815be440764eea04cc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2018-08-17T07:00:00+00:00</OpenedDate>
    <SignificantOrder xmlns="dc463f71-b30c-4ab2-9473-d307f9d35888">false</SignificantOrder>
    <Date1 xmlns="dc463f71-b30c-4ab2-9473-d307f9d35888">2018-08-17T07:00:00+00:00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180702</DocketNumber>
    <DelegatedOrder xmlns="dc463f71-b30c-4ab2-9473-d307f9d35888">false</DelegatedOrder>
  </documentManagement>
</p:properties>
</file>

<file path=customXml/itemProps1.xml><?xml version="1.0" encoding="utf-8"?>
<ds:datastoreItem xmlns:ds="http://schemas.openxmlformats.org/officeDocument/2006/customXml" ds:itemID="{8FCB6234-746B-4141-9147-9BA610172167}"/>
</file>

<file path=customXml/itemProps2.xml><?xml version="1.0" encoding="utf-8"?>
<ds:datastoreItem xmlns:ds="http://schemas.openxmlformats.org/officeDocument/2006/customXml" ds:itemID="{3463CA99-EC6D-4438-951A-023ED6CC955D}"/>
</file>

<file path=customXml/itemProps3.xml><?xml version="1.0" encoding="utf-8"?>
<ds:datastoreItem xmlns:ds="http://schemas.openxmlformats.org/officeDocument/2006/customXml" ds:itemID="{783BCA70-9BB5-4688-8C26-0761AC8619E9}"/>
</file>

<file path=customXml/itemProps4.xml><?xml version="1.0" encoding="utf-8"?>
<ds:datastoreItem xmlns:ds="http://schemas.openxmlformats.org/officeDocument/2006/customXml" ds:itemID="{BAF914DC-DB60-42FC-B486-69D14308FD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Power Supply Normalization</vt:lpstr>
      <vt:lpstr>Capital Structure</vt:lpstr>
      <vt:lpstr>Earnings Test Differences</vt:lpstr>
      <vt:lpstr>Earnings Test Calculation</vt:lpstr>
      <vt:lpstr>'Earnings Test Calculation'!Print_Area</vt:lpstr>
      <vt:lpstr>'Power Supply Normalization'!Print_Area</vt:lpstr>
      <vt:lpstr>'Power Supply Normalization'!Print_Titles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2018-07-31T23:37:47Z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0x0101006E56B4D1795A2E4DB2F0B01679ED314A004AF76D97CE6385419569574D0F429477</vt:lpwstr>
  </property>
  <property fmtid="{D5CDD505-2E9C-101B-9397-08002B2CF9AE}" pid="3" name="_docset_NoMedatataSyncRequired">
    <vt:lpwstr>False</vt:lpwstr>
  </property>
  <property fmtid="{D5CDD505-2E9C-101B-9397-08002B2CF9AE}" pid="4" name="IsEFSEC">
    <vt:bool>false</vt:bool>
  </property>
</Properties>
</file>