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April 2018\13\Pse Gas Tariff\"/>
    </mc:Choice>
  </mc:AlternateContent>
  <bookViews>
    <workbookView xWindow="-45" yWindow="30" windowWidth="14250" windowHeight="12795"/>
  </bookViews>
  <sheets>
    <sheet name="Sched 140 Rates" sheetId="1" r:id="rId1"/>
    <sheet name="Rev Requirement" sheetId="24" r:id="rId2"/>
    <sheet name="Forecasted Volume" sheetId="18" r:id="rId3"/>
    <sheet name="Rate Impacts--&gt;" sheetId="19" r:id="rId4"/>
    <sheet name="Rate Impacts" sheetId="21" r:id="rId5"/>
    <sheet name="Typical Res Bill" sheetId="22" r:id="rId6"/>
    <sheet name="Schedule 140 Revenue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localSheetId="5">0</definedName>
    <definedName name="_Order1">255</definedName>
    <definedName name="_Order2" localSheetId="2">0</definedName>
    <definedName name="_Order2" localSheetId="5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 localSheetId="2">[18]INPUTS!$C$8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>'[22]Virtual 49 Back-Up'!$E$54</definedName>
    <definedName name="ConversionFactor">[9]Assumptions!$I$65</definedName>
    <definedName name="COSFacVal">[7]Inputs!$R$5</definedName>
    <definedName name="CurrQtr">'[23]Inc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'[23]Avg Amts'!$A$5:$BP$34</definedName>
    <definedName name="Data.Qtrs.Avg">'[23]Avg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 localSheetId="2">[4]INPUTS!$F$31</definedName>
    <definedName name="EffTax">[19]INPUTS!$F$36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'[22]Virtual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 localSheetId="2">[4]INPUTS!$F$30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2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'[20]KJB-12 Sum'!$AS$2</definedName>
    <definedName name="k_FITrate">'[20]KJB-3,11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2">IF('Forecasted Volume'!Values_Entered,Header_Row+'Forecasted Volume'!Number_of_Payments,Header_Row)</definedName>
    <definedName name="Last_Row" localSheetId="6">IF('Schedule 140 Revenue'!Values_Entered,Header_Row+'Schedule 140 Revenue'!Number_of_Payments,Header_Row)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6">[38]!menu1_Button5_Click</definedName>
    <definedName name="menu1_Button5_Click">[38]!menu1_Button5_Click</definedName>
    <definedName name="menu1_Button6_Click" localSheetId="6">[38]!menu1_Button6_Click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2">MATCH(0.01,End_Bal,-1)+1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'[22]Virtual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[18]INPUTS!$F$41</definedName>
    <definedName name="OthUnc">[4]INPUTS!$F$36</definedName>
    <definedName name="outlookdata">'[45]pivoted data'!$D$3:$Q$90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2">'Forecasted Volume'!$A$1:$N$30</definedName>
    <definedName name="_xlnm.Print_Area" localSheetId="4">'Rate Impacts'!$B$1:$U$43</definedName>
    <definedName name="_xlnm.Print_Area" localSheetId="0">'Sched 140 Rates'!$A$1:$S$29</definedName>
    <definedName name="_xlnm.Print_Area" localSheetId="6">'Schedule 140 Revenue'!$A$1:$H$25</definedName>
    <definedName name="_xlnm.Print_Area" localSheetId="5">'Typical Res Bill'!$B$1:$H$39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[29]Inputs!$E$111</definedName>
    <definedName name="PSE">'[49]4.04'!$A$6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'[21]Transp Data'!$A$8:$I$112</definedName>
    <definedName name="Rates">[51]Codes!$A$1:$C$500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[47]Sch_194!$M$31</definedName>
    <definedName name="RESID">[4]EXTERNAL!$A$88:$IV$90</definedName>
    <definedName name="resource_lookup">'[52]#REF'!$B$3:$C$112</definedName>
    <definedName name="ResourceSupplier">[11]Variables!$D$28</definedName>
    <definedName name="ResRCF" localSheetId="2">[18]INPUTS!$F$39</definedName>
    <definedName name="ResRCF">[19]INPUTS!$F$44</definedName>
    <definedName name="ResUnc" localSheetId="2">[4]INPUTS!$F$34</definedName>
    <definedName name="ResUnc">[19]INPUTS!$F$39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 localSheetId="2">[53]INPUTS!$F$25</definedName>
    <definedName name="ROD">[19]INPUTS!$F$30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[18]INPUTS!$F$40</definedName>
    <definedName name="SbUnc">[4]INPUTS!$F$35</definedName>
    <definedName name="Sch194Rlfwd">'[54]Sch94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 localSheetId="2">[4]INPUTS!$F$29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2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'[57]Input Tab'!$B$11</definedName>
    <definedName name="WinterPeak">'[58]Load Data'!$D$9:$H$12,'[58]Load Data'!$D$20:$H$22</definedName>
    <definedName name="WUTC_Docket_No._UG_11____">'[6]MJS-6'!$F$2</definedName>
    <definedName name="WUTC_FILING_FEE">'[6]MJS-7'!$O$15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52511"/>
</workbook>
</file>

<file path=xl/calcChain.xml><?xml version="1.0" encoding="utf-8"?>
<calcChain xmlns="http://schemas.openxmlformats.org/spreadsheetml/2006/main">
  <c r="E27" i="24" l="1"/>
  <c r="D27" i="24"/>
  <c r="F26" i="24"/>
  <c r="F25" i="24"/>
  <c r="A25" i="24"/>
  <c r="A26" i="24" s="1"/>
  <c r="A27" i="24" s="1"/>
  <c r="A30" i="24" s="1"/>
  <c r="A31" i="24" s="1"/>
  <c r="A32" i="24" s="1"/>
  <c r="A33" i="24" s="1"/>
  <c r="F19" i="24"/>
  <c r="F11" i="24"/>
  <c r="E10" i="24"/>
  <c r="E13" i="24" s="1"/>
  <c r="D10" i="24"/>
  <c r="D13" i="24" s="1"/>
  <c r="I9" i="24"/>
  <c r="F9" i="24"/>
  <c r="I6" i="24"/>
  <c r="F6" i="24"/>
  <c r="I26" i="24"/>
  <c r="H9" i="24"/>
  <c r="F10" i="24" l="1"/>
  <c r="E15" i="24"/>
  <c r="E18" i="24" s="1"/>
  <c r="E21" i="24" s="1"/>
  <c r="E28" i="24"/>
  <c r="J9" i="24"/>
  <c r="F13" i="24"/>
  <c r="D15" i="24"/>
  <c r="D28" i="24"/>
  <c r="H25" i="24"/>
  <c r="I25" i="24"/>
  <c r="I27" i="24" s="1"/>
  <c r="I10" i="24"/>
  <c r="I11" i="24"/>
  <c r="I19" i="24"/>
  <c r="I23" i="1" s="1"/>
  <c r="H10" i="24"/>
  <c r="H11" i="24"/>
  <c r="H19" i="24"/>
  <c r="H26" i="24"/>
  <c r="J26" i="24" s="1"/>
  <c r="H6" i="24"/>
  <c r="F27" i="24"/>
  <c r="J19" i="24" l="1"/>
  <c r="I13" i="24"/>
  <c r="I15" i="24" s="1"/>
  <c r="I18" i="24" s="1"/>
  <c r="J10" i="24"/>
  <c r="F28" i="24"/>
  <c r="J11" i="24"/>
  <c r="D18" i="24"/>
  <c r="F15" i="24"/>
  <c r="J6" i="24"/>
  <c r="I30" i="24"/>
  <c r="I31" i="24" s="1"/>
  <c r="I28" i="24"/>
  <c r="H13" i="24"/>
  <c r="J13" i="24" s="1"/>
  <c r="H27" i="24"/>
  <c r="J25" i="24"/>
  <c r="I21" i="24" l="1"/>
  <c r="H23" i="1"/>
  <c r="D21" i="24"/>
  <c r="F21" i="24" s="1"/>
  <c r="F18" i="24"/>
  <c r="H30" i="24"/>
  <c r="H31" i="24" s="1"/>
  <c r="H28" i="24"/>
  <c r="J27" i="24"/>
  <c r="J28" i="24" s="1"/>
  <c r="H15" i="24"/>
  <c r="J15" i="24" l="1"/>
  <c r="H18" i="24"/>
  <c r="H21" i="24" l="1"/>
  <c r="J21" i="24" s="1"/>
  <c r="J18" i="24"/>
  <c r="H20" i="1" l="1"/>
  <c r="Q20" i="1" s="1"/>
  <c r="I20" i="1"/>
  <c r="I17" i="1"/>
  <c r="I16" i="1"/>
  <c r="I15" i="1"/>
  <c r="I14" i="1"/>
  <c r="I13" i="1"/>
  <c r="I12" i="1"/>
  <c r="I11" i="1" l="1"/>
  <c r="H11" i="1"/>
  <c r="D18" i="1" l="1"/>
  <c r="D21" i="1" s="1"/>
  <c r="F24" i="23" l="1"/>
  <c r="C8" i="23"/>
  <c r="E30" i="22"/>
  <c r="D30" i="22"/>
  <c r="D31" i="22" s="1"/>
  <c r="G29" i="22"/>
  <c r="G28" i="22"/>
  <c r="G30" i="22" s="1"/>
  <c r="H30" i="22" s="1"/>
  <c r="H26" i="22"/>
  <c r="G26" i="22"/>
  <c r="E26" i="22"/>
  <c r="G24" i="22"/>
  <c r="H24" i="22" s="1"/>
  <c r="E24" i="22"/>
  <c r="D22" i="22"/>
  <c r="D37" i="22" s="1"/>
  <c r="G21" i="22"/>
  <c r="G20" i="22"/>
  <c r="G19" i="22"/>
  <c r="G18" i="22"/>
  <c r="G16" i="22"/>
  <c r="D13" i="22"/>
  <c r="H12" i="22"/>
  <c r="G12" i="22"/>
  <c r="E12" i="22"/>
  <c r="H11" i="22"/>
  <c r="H13" i="22" s="1"/>
  <c r="G11" i="22"/>
  <c r="G13" i="22" s="1"/>
  <c r="E11" i="22"/>
  <c r="E13" i="22" s="1"/>
  <c r="E39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F25" i="21"/>
  <c r="H25" i="21" s="1"/>
  <c r="S25" i="21" s="1"/>
  <c r="R23" i="21"/>
  <c r="R26" i="21" s="1"/>
  <c r="Q23" i="21"/>
  <c r="Q26" i="21" s="1"/>
  <c r="P23" i="21"/>
  <c r="P26" i="21" s="1"/>
  <c r="O23" i="21"/>
  <c r="O26" i="21" s="1"/>
  <c r="M23" i="21"/>
  <c r="M26" i="21" s="1"/>
  <c r="L23" i="21"/>
  <c r="L26" i="21" s="1"/>
  <c r="K23" i="21"/>
  <c r="K26" i="21" s="1"/>
  <c r="I23" i="21"/>
  <c r="I26" i="21" s="1"/>
  <c r="E23" i="21"/>
  <c r="E26" i="21" s="1"/>
  <c r="D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J23" i="21"/>
  <c r="J26" i="21" s="1"/>
  <c r="F10" i="21"/>
  <c r="D37" i="21" l="1"/>
  <c r="D40" i="21" s="1"/>
  <c r="E37" i="21"/>
  <c r="E40" i="21" s="1"/>
  <c r="E22" i="22"/>
  <c r="E31" i="22" s="1"/>
  <c r="E33" i="22" s="1"/>
  <c r="S39" i="21"/>
  <c r="F23" i="21"/>
  <c r="H39" i="21"/>
  <c r="F14" i="1" l="1"/>
  <c r="J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M24" i="18"/>
  <c r="M27" i="18" s="1"/>
  <c r="L24" i="18"/>
  <c r="L27" i="18" s="1"/>
  <c r="K24" i="18"/>
  <c r="K27" i="18" s="1"/>
  <c r="J24" i="18"/>
  <c r="I24" i="18"/>
  <c r="I27" i="18" s="1"/>
  <c r="H24" i="18"/>
  <c r="H27" i="18" s="1"/>
  <c r="G24" i="18"/>
  <c r="G27" i="18" s="1"/>
  <c r="F24" i="18"/>
  <c r="F27" i="18" s="1"/>
  <c r="E24" i="18"/>
  <c r="E27" i="18" s="1"/>
  <c r="D24" i="18"/>
  <c r="D27" i="18" s="1"/>
  <c r="C24" i="18"/>
  <c r="C27" i="18" s="1"/>
  <c r="B24" i="18"/>
  <c r="M22" i="18"/>
  <c r="L22" i="18"/>
  <c r="L28" i="18" s="1"/>
  <c r="K22" i="18"/>
  <c r="K28" i="18" s="1"/>
  <c r="J22" i="18"/>
  <c r="I22" i="18"/>
  <c r="H22" i="18"/>
  <c r="H28" i="18" s="1"/>
  <c r="G22" i="18"/>
  <c r="G28" i="18" s="1"/>
  <c r="F22" i="18"/>
  <c r="E22" i="18"/>
  <c r="D22" i="18"/>
  <c r="D28" i="18" s="1"/>
  <c r="C22" i="18"/>
  <c r="C28" i="18" s="1"/>
  <c r="B22" i="18"/>
  <c r="N21" i="18"/>
  <c r="N20" i="18"/>
  <c r="N19" i="18"/>
  <c r="N18" i="18"/>
  <c r="N17" i="18"/>
  <c r="N16" i="18"/>
  <c r="N15" i="18"/>
  <c r="F16" i="1" s="1"/>
  <c r="N14" i="18"/>
  <c r="F15" i="1" s="1"/>
  <c r="N13" i="18"/>
  <c r="N12" i="18"/>
  <c r="N11" i="18"/>
  <c r="N10" i="18"/>
  <c r="N9" i="18"/>
  <c r="N8" i="18"/>
  <c r="F11" i="1" s="1"/>
  <c r="C7" i="18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G13" i="21" l="1"/>
  <c r="H13" i="21" s="1"/>
  <c r="C12" i="23"/>
  <c r="F12" i="23" s="1"/>
  <c r="N13" i="21" s="1"/>
  <c r="G10" i="21"/>
  <c r="C9" i="23"/>
  <c r="G18" i="21"/>
  <c r="H18" i="21" s="1"/>
  <c r="C17" i="23"/>
  <c r="F17" i="23" s="1"/>
  <c r="N18" i="21" s="1"/>
  <c r="S18" i="21" s="1"/>
  <c r="I28" i="18"/>
  <c r="C10" i="23"/>
  <c r="F10" i="23" s="1"/>
  <c r="N11" i="21" s="1"/>
  <c r="S11" i="21" s="1"/>
  <c r="G11" i="21"/>
  <c r="H11" i="21" s="1"/>
  <c r="G17" i="21"/>
  <c r="H17" i="21" s="1"/>
  <c r="C16" i="23"/>
  <c r="F16" i="23" s="1"/>
  <c r="N17" i="21" s="1"/>
  <c r="G21" i="21"/>
  <c r="H21" i="21" s="1"/>
  <c r="S21" i="21" s="1"/>
  <c r="C20" i="23"/>
  <c r="F20" i="23" s="1"/>
  <c r="N21" i="21" s="1"/>
  <c r="C13" i="23"/>
  <c r="F13" i="23" s="1"/>
  <c r="N14" i="21" s="1"/>
  <c r="G14" i="21"/>
  <c r="H14" i="21" s="1"/>
  <c r="G22" i="21"/>
  <c r="H22" i="21" s="1"/>
  <c r="C21" i="23"/>
  <c r="F21" i="23" s="1"/>
  <c r="N22" i="21" s="1"/>
  <c r="E28" i="18"/>
  <c r="M28" i="18"/>
  <c r="N22" i="18"/>
  <c r="N28" i="18" s="1"/>
  <c r="C14" i="23"/>
  <c r="F14" i="23" s="1"/>
  <c r="N15" i="21" s="1"/>
  <c r="G15" i="21"/>
  <c r="H15" i="21" s="1"/>
  <c r="C18" i="23"/>
  <c r="F18" i="23" s="1"/>
  <c r="N19" i="21" s="1"/>
  <c r="G19" i="21"/>
  <c r="H19" i="21" s="1"/>
  <c r="S19" i="21" s="1"/>
  <c r="F28" i="18"/>
  <c r="J28" i="18"/>
  <c r="N24" i="18"/>
  <c r="N25" i="18"/>
  <c r="N26" i="18"/>
  <c r="B27" i="18"/>
  <c r="B28" i="18" s="1"/>
  <c r="F12" i="1"/>
  <c r="F18" i="1" s="1"/>
  <c r="C11" i="23"/>
  <c r="F11" i="23" s="1"/>
  <c r="N12" i="21" s="1"/>
  <c r="G12" i="21"/>
  <c r="H12" i="21" s="1"/>
  <c r="H31" i="21" s="1"/>
  <c r="C15" i="23"/>
  <c r="F15" i="23" s="1"/>
  <c r="N16" i="21" s="1"/>
  <c r="G16" i="21"/>
  <c r="H16" i="21" s="1"/>
  <c r="H35" i="21" s="1"/>
  <c r="C19" i="23"/>
  <c r="F19" i="23" s="1"/>
  <c r="N20" i="21" s="1"/>
  <c r="G20" i="21"/>
  <c r="H20" i="21" s="1"/>
  <c r="F13" i="1"/>
  <c r="F17" i="1"/>
  <c r="N27" i="18"/>
  <c r="H36" i="21" l="1"/>
  <c r="S22" i="21"/>
  <c r="S36" i="21" s="1"/>
  <c r="F9" i="23"/>
  <c r="C22" i="23"/>
  <c r="S16" i="21"/>
  <c r="S35" i="21" s="1"/>
  <c r="H34" i="21"/>
  <c r="S17" i="21"/>
  <c r="H33" i="21"/>
  <c r="S14" i="21"/>
  <c r="S33" i="21" s="1"/>
  <c r="H10" i="21"/>
  <c r="G23" i="21"/>
  <c r="S20" i="21"/>
  <c r="S12" i="21"/>
  <c r="S15" i="21"/>
  <c r="H32" i="21"/>
  <c r="S13" i="21"/>
  <c r="S32" i="21" s="1"/>
  <c r="R20" i="1"/>
  <c r="S34" i="21" l="1"/>
  <c r="H23" i="21"/>
  <c r="H26" i="21" s="1"/>
  <c r="H30" i="21"/>
  <c r="H37" i="21" s="1"/>
  <c r="H40" i="21" s="1"/>
  <c r="S10" i="21"/>
  <c r="N10" i="21"/>
  <c r="N23" i="21" s="1"/>
  <c r="N26" i="21" s="1"/>
  <c r="F22" i="23"/>
  <c r="F25" i="23" s="1"/>
  <c r="S31" i="21"/>
  <c r="I18" i="1"/>
  <c r="I21" i="1" s="1"/>
  <c r="S23" i="21" l="1"/>
  <c r="S26" i="21" s="1"/>
  <c r="S30" i="21"/>
  <c r="S37" i="21" s="1"/>
  <c r="S40" i="2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J11" i="1"/>
  <c r="J23" i="1"/>
  <c r="S20" i="1" l="1"/>
  <c r="E24" i="23" s="1"/>
  <c r="G24" i="23" s="1"/>
  <c r="J20" i="1"/>
  <c r="H18" i="1"/>
  <c r="H21" i="1" s="1"/>
  <c r="T25" i="21" l="1"/>
  <c r="H24" i="23"/>
  <c r="L12" i="1"/>
  <c r="L17" i="1"/>
  <c r="K15" i="1"/>
  <c r="L16" i="1"/>
  <c r="K16" i="1"/>
  <c r="T39" i="21" l="1"/>
  <c r="U39" i="21" s="1"/>
  <c r="U25" i="21"/>
  <c r="K17" i="1"/>
  <c r="M17" i="1" s="1"/>
  <c r="E21" i="23" s="1"/>
  <c r="G21" i="23" s="1"/>
  <c r="L15" i="1"/>
  <c r="M15" i="1" s="1"/>
  <c r="K12" i="1"/>
  <c r="M12" i="1" s="1"/>
  <c r="M16" i="1"/>
  <c r="L13" i="1"/>
  <c r="K13" i="1"/>
  <c r="L11" i="1"/>
  <c r="O11" i="1" s="1"/>
  <c r="K11" i="1"/>
  <c r="L14" i="1"/>
  <c r="K14" i="1"/>
  <c r="E14" i="23" l="1"/>
  <c r="G14" i="23" s="1"/>
  <c r="E19" i="23"/>
  <c r="G19" i="23" s="1"/>
  <c r="T22" i="21"/>
  <c r="H21" i="23"/>
  <c r="E15" i="23"/>
  <c r="G15" i="23" s="1"/>
  <c r="E20" i="23"/>
  <c r="G20" i="23" s="1"/>
  <c r="E16" i="23"/>
  <c r="G16" i="23" s="1"/>
  <c r="E11" i="23"/>
  <c r="G11" i="23" s="1"/>
  <c r="M14" i="1"/>
  <c r="M13" i="1"/>
  <c r="M11" i="1"/>
  <c r="N11" i="1"/>
  <c r="P11" i="1" s="1"/>
  <c r="E9" i="23" l="1"/>
  <c r="E10" i="23"/>
  <c r="G10" i="23" s="1"/>
  <c r="T36" i="21"/>
  <c r="U36" i="21" s="1"/>
  <c r="U22" i="21"/>
  <c r="T12" i="21"/>
  <c r="U12" i="21" s="1"/>
  <c r="H11" i="23"/>
  <c r="T17" i="21"/>
  <c r="H16" i="23"/>
  <c r="E17" i="23"/>
  <c r="G17" i="23" s="1"/>
  <c r="E12" i="23"/>
  <c r="G12" i="23" s="1"/>
  <c r="T21" i="21"/>
  <c r="U21" i="21" s="1"/>
  <c r="H20" i="23"/>
  <c r="T20" i="21"/>
  <c r="U20" i="21" s="1"/>
  <c r="H19" i="23"/>
  <c r="E13" i="23"/>
  <c r="G13" i="23" s="1"/>
  <c r="E18" i="23"/>
  <c r="G18" i="23" s="1"/>
  <c r="T16" i="21"/>
  <c r="H15" i="23"/>
  <c r="T15" i="21"/>
  <c r="H14" i="23"/>
  <c r="E18" i="1"/>
  <c r="E21" i="1" s="1"/>
  <c r="T14" i="21" l="1"/>
  <c r="H13" i="23"/>
  <c r="T31" i="21"/>
  <c r="U31" i="21" s="1"/>
  <c r="U17" i="21"/>
  <c r="T13" i="21"/>
  <c r="H12" i="23"/>
  <c r="T11" i="21"/>
  <c r="U11" i="21" s="1"/>
  <c r="H10" i="23"/>
  <c r="T35" i="21"/>
  <c r="U35" i="21" s="1"/>
  <c r="U16" i="21"/>
  <c r="T18" i="21"/>
  <c r="U18" i="21" s="1"/>
  <c r="H17" i="23"/>
  <c r="G9" i="23"/>
  <c r="G17" i="22"/>
  <c r="G22" i="22" s="1"/>
  <c r="T19" i="21"/>
  <c r="U19" i="21" s="1"/>
  <c r="H18" i="23"/>
  <c r="T34" i="21"/>
  <c r="U34" i="21" s="1"/>
  <c r="U15" i="21"/>
  <c r="J18" i="1"/>
  <c r="J21" i="1" s="1"/>
  <c r="G37" i="22" l="1"/>
  <c r="G31" i="22"/>
  <c r="H22" i="22"/>
  <c r="H31" i="22" s="1"/>
  <c r="H33" i="22" s="1"/>
  <c r="H34" i="22" s="1"/>
  <c r="H35" i="22" s="1"/>
  <c r="T10" i="21"/>
  <c r="H9" i="23"/>
  <c r="G22" i="23"/>
  <c r="T32" i="21"/>
  <c r="U32" i="21" s="1"/>
  <c r="U13" i="21"/>
  <c r="T33" i="21"/>
  <c r="U33" i="21" s="1"/>
  <c r="U14" i="21"/>
  <c r="G25" i="23" l="1"/>
  <c r="H25" i="23" s="1"/>
  <c r="H22" i="23"/>
  <c r="U10" i="21"/>
  <c r="T23" i="21"/>
  <c r="T30" i="21"/>
  <c r="T26" i="21" l="1"/>
  <c r="U26" i="21" s="1"/>
  <c r="U23" i="21"/>
  <c r="T37" i="21"/>
  <c r="U30" i="21"/>
  <c r="T40" i="21" l="1"/>
  <c r="U40" i="21" s="1"/>
  <c r="U37" i="21"/>
</calcChain>
</file>

<file path=xl/sharedStrings.xml><?xml version="1.0" encoding="utf-8"?>
<sst xmlns="http://schemas.openxmlformats.org/spreadsheetml/2006/main" count="341" uniqueCount="204">
  <si>
    <t>Puget Sound Energy</t>
  </si>
  <si>
    <t>Calculation of Schedule 140 Rates</t>
  </si>
  <si>
    <t>Proposed</t>
  </si>
  <si>
    <t>Property Tax</t>
  </si>
  <si>
    <t>Monthly</t>
  </si>
  <si>
    <t>Rental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</si>
  <si>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</si>
  <si>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</si>
  <si>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</si>
  <si>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</si>
  <si>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</si>
  <si>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</si>
  <si>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</si>
  <si>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</si>
  <si>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</si>
  <si>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</si>
  <si>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</si>
  <si>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</si>
  <si>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</si>
  <si>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</si>
  <si>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</si>
  <si>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</si>
  <si>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</si>
  <si>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</si>
  <si>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</si>
  <si>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</si>
  <si>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</si>
  <si>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</si>
  <si>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Rentals</t>
  </si>
  <si>
    <t>71, 72, 74</t>
  </si>
  <si>
    <t>Total</t>
  </si>
  <si>
    <t>Proposed Revenue Requirement</t>
  </si>
  <si>
    <t>Projected</t>
  </si>
  <si>
    <t>Volume (Therms)</t>
  </si>
  <si>
    <t>Allocation (1)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</si>
  <si>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</si>
  <si>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</si>
  <si>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</si>
  <si>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</si>
  <si>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</si>
  <si>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</si>
  <si>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</si>
  <si>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</si>
  <si>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</si>
  <si>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</si>
  <si>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</si>
  <si>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</si>
  <si>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</si>
  <si>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</si>
  <si>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</si>
  <si>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</si>
  <si>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</si>
  <si>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</si>
  <si>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= 10 - 9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</si>
  <si>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</si>
  <si>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</si>
  <si>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</si>
  <si>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</si>
  <si>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</si>
  <si>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</si>
  <si>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</si>
  <si>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</si>
  <si>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</si>
  <si>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</si>
  <si>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</si>
  <si>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</si>
  <si>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2018 Gas Property Tax Tracker Filing</t>
  </si>
  <si>
    <t>Proposed Effective May 1, 2018</t>
  </si>
  <si>
    <t>(a)</t>
  </si>
  <si>
    <t>(b)</t>
  </si>
  <si>
    <t>(c)</t>
  </si>
  <si>
    <t>(d)</t>
  </si>
  <si>
    <t>(e)</t>
  </si>
  <si>
    <t>(g)</t>
  </si>
  <si>
    <t>(f)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</si>
  <si>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</si>
  <si>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</si>
  <si>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</si>
  <si>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</si>
  <si>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</si>
  <si>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</si>
  <si>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</si>
  <si>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</si>
  <si>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</si>
  <si>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</si>
  <si>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Line</t>
  </si>
  <si>
    <t>No.</t>
  </si>
  <si>
    <t>Forecasted Therm Volumes</t>
  </si>
  <si>
    <t>May 2018 - April 2019</t>
  </si>
  <si>
    <t>Total Firm</t>
  </si>
  <si>
    <t>Total Interruptible</t>
  </si>
  <si>
    <t>Total Transportation</t>
  </si>
  <si>
    <t>Total Delivered</t>
  </si>
  <si>
    <t>Check</t>
  </si>
  <si>
    <t xml:space="preserve">Source: 2017 Load Forecast Calendar Month Therms (7-5-17)  </t>
  </si>
  <si>
    <t>Revenue Requirement from 2017 Filing</t>
  </si>
  <si>
    <t>Cash Payment expected to be made 2018</t>
  </si>
  <si>
    <t>True-up for 2017 Load Variance</t>
  </si>
  <si>
    <t>&lt;==Check Load</t>
  </si>
  <si>
    <t>Revenue Requirement Increase / (Decrease)</t>
  </si>
  <si>
    <t>Rate Change Impacts by Rate Schedule</t>
  </si>
  <si>
    <t>Proposed Rates Effective May 1, 2018</t>
  </si>
  <si>
    <t>UG-170034</t>
  </si>
  <si>
    <t>Forecasted</t>
  </si>
  <si>
    <t>Sched 142</t>
  </si>
  <si>
    <t>12ME Apr 2019</t>
  </si>
  <si>
    <t>Sched 140</t>
  </si>
  <si>
    <t>Rate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</si>
  <si>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</si>
  <si>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</si>
  <si>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</si>
  <si>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</si>
  <si>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</si>
  <si>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</si>
  <si>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</si>
  <si>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132</t>
  </si>
  <si>
    <t>Sched 141 ERF</t>
  </si>
  <si>
    <t>Rate Plan</t>
  </si>
  <si>
    <t>Decoupling</t>
  </si>
  <si>
    <t>Sched 149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</si>
  <si>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</si>
  <si>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</si>
  <si>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</si>
  <si>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</si>
  <si>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</si>
  <si>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May 18 - Apr 19</t>
  </si>
  <si>
    <t>Margin Revenue</t>
  </si>
  <si>
    <t>Changes</t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</si>
  <si>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</si>
  <si>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</si>
  <si>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</si>
  <si>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</si>
  <si>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</si>
  <si>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</si>
  <si>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</si>
  <si>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</si>
  <si>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</si>
  <si>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</si>
  <si>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</si>
  <si>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</si>
  <si>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</si>
  <si>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</si>
  <si>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</si>
  <si>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</si>
  <si>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</si>
  <si>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</si>
  <si>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R </t>
  </si>
  <si>
    <t xml:space="preserve">S </t>
  </si>
  <si>
    <t>T= S/R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</si>
  <si>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</si>
  <si>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</si>
  <si>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</si>
  <si>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</si>
  <si>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</si>
  <si>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</si>
  <si>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</si>
  <si>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</si>
  <si>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</si>
  <si>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</si>
  <si>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</si>
  <si>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</si>
  <si>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</si>
  <si>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</si>
  <si>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r>
      <t>Rentals</t>
    </r>
    <r>
      <rPr>
        <vertAlign val="superscript"/>
        <sz val="11"/>
        <rFont val="Calibri"/>
        <family val="2"/>
      </rPr>
      <t>(2)</t>
    </r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</si>
  <si>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September 2016, at approved rates from UG-170034 General Rate Case compliance filing. The rates do not include schedules 140, 141 and 142.</t>
    </r>
  </si>
  <si>
    <t>Typical Residential Bill Impacts</t>
  </si>
  <si>
    <t>Current Rates</t>
  </si>
  <si>
    <t>Schedule 140 Rate Change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</si>
  <si>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</si>
  <si>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</si>
  <si>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</si>
  <si>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</si>
  <si>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Customer charge ($/month)</t>
  </si>
  <si>
    <t>Basic charge</t>
  </si>
  <si>
    <r>
      <t>ERF</t>
    </r>
    <r>
      <rPr>
        <sz val="11"/>
        <rFont val="Calibri"/>
        <family val="2"/>
        <scheme val="minor"/>
      </rPr>
      <t xml:space="preserve"> adjusting charge (Schedule 141)</t>
    </r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</si>
  <si>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</si>
  <si>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</si>
  <si>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</si>
  <si>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</si>
  <si>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</si>
  <si>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</si>
  <si>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</si>
  <si>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</si>
  <si>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</si>
  <si>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</si>
  <si>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</si>
  <si>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</si>
  <si>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</si>
  <si>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</si>
  <si>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</si>
  <si>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January 1, 2018</t>
    </r>
  </si>
  <si>
    <t>Property Tax Tracker Revenue (Schedule 140)</t>
  </si>
  <si>
    <t>Existing</t>
  </si>
  <si>
    <t>Allocation (2)</t>
  </si>
  <si>
    <t>(5/2018 - 4/2019) (3)</t>
  </si>
  <si>
    <t>Charges (4)</t>
  </si>
  <si>
    <t>(2) Allocation of plant from cost of service study in UG-170034 based on approved revenue requirement.</t>
  </si>
  <si>
    <t>(3) Forecasted rate year normalized volume from F2017 Load Forecast.</t>
  </si>
  <si>
    <t>(1) Allocation of plant from cost of service study in UG-111049 based on approved revenue requirement.</t>
  </si>
  <si>
    <t>(4) Forecased rate year rental count calculated using actual December 2017 count.</t>
  </si>
  <si>
    <t>(r)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</si>
  <si>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rental counts calculated using actual December 2017 count.</t>
    </r>
  </si>
  <si>
    <t>UG-111049</t>
  </si>
  <si>
    <r>
      <t xml:space="preserve">Property Tax Revenue Requirement - </t>
    </r>
    <r>
      <rPr>
        <b/>
        <sz val="14"/>
        <color rgb="FFFF0000"/>
        <rFont val="Calibri"/>
        <family val="2"/>
      </rPr>
      <t>Final April</t>
    </r>
    <r>
      <rPr>
        <b/>
        <sz val="14"/>
        <color theme="1"/>
        <rFont val="Calibri"/>
        <family val="2"/>
        <scheme val="minor"/>
      </rPr>
      <t>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</si>
</sst>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???_);_(@_)"/>
    <numFmt numFmtId="169" formatCode="_(&quot;$&quot;* #,##0.00_);_(&quot;$&quot;* \(#,##0.00\);_(&quot;$&quot;* &quot;-&quot;?????_);_(@_)"/>
    <numFmt numFmtId="170" formatCode="_(&quot;$&quot;* #,##0_);_(&quot;$&quot;* \(#,##0\);_(&quot;$&quot;* &quot;-&quot;?????_);_(@_)"/>
    <numFmt numFmtId="171" formatCode="_(&quot;$&quot;* #,##0.00_);_(&quot;$&quot;* \(#,##0.00\);_(&quot;$&quot;* &quot;-&quot;_);_(@_)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sz val="11"/>
      <color rgb="FF00808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indexed="12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 applyAlignment="1">
      <alignment horizontal="center"/>
    </xf>
    <xf numFmtId="3" fontId="3" fillId="0" borderId="0" xfId="0" applyNumberFormat="1" applyFont="1"/>
    <xf numFmtId="164" fontId="3" fillId="0" borderId="0" xfId="0" applyNumberFormat="1" applyFont="1" applyFill="1"/>
    <xf numFmtId="42" fontId="0" fillId="0" borderId="0" xfId="0" applyNumberFormat="1"/>
    <xf numFmtId="164" fontId="0" fillId="0" borderId="2" xfId="0" applyNumberFormat="1" applyFont="1" applyFill="1" applyBorder="1"/>
    <xf numFmtId="164" fontId="0" fillId="0" borderId="0" xfId="0" applyNumberFormat="1" applyFont="1"/>
    <xf numFmtId="164" fontId="3" fillId="0" borderId="0" xfId="0" applyNumberFormat="1" applyFont="1"/>
    <xf numFmtId="164" fontId="0" fillId="0" borderId="2" xfId="0" applyNumberFormat="1" applyFont="1" applyBorder="1"/>
    <xf numFmtId="9" fontId="0" fillId="0" borderId="0" xfId="0" applyNumberFormat="1" applyFont="1"/>
    <xf numFmtId="42" fontId="4" fillId="0" borderId="0" xfId="0" applyNumberFormat="1" applyFont="1" applyFill="1"/>
    <xf numFmtId="0" fontId="0" fillId="0" borderId="0" xfId="0" applyFont="1"/>
    <xf numFmtId="0" fontId="0" fillId="0" borderId="0" xfId="0" applyAlignment="1">
      <alignment horizontal="center"/>
    </xf>
    <xf numFmtId="42" fontId="5" fillId="0" borderId="0" xfId="0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2" fontId="0" fillId="0" borderId="0" xfId="0" applyNumberFormat="1" applyFont="1"/>
    <xf numFmtId="165" fontId="0" fillId="0" borderId="0" xfId="0" applyNumberFormat="1" applyFont="1" applyFill="1"/>
    <xf numFmtId="44" fontId="0" fillId="0" borderId="0" xfId="0" applyNumberFormat="1" applyFont="1" applyFill="1"/>
    <xf numFmtId="3" fontId="0" fillId="0" borderId="2" xfId="0" applyNumberFormat="1" applyFont="1" applyBorder="1"/>
    <xf numFmtId="42" fontId="0" fillId="0" borderId="2" xfId="0" applyNumberFormat="1" applyFont="1" applyBorder="1"/>
    <xf numFmtId="42" fontId="0" fillId="0" borderId="0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Alignment="1">
      <alignment horizontal="left"/>
    </xf>
    <xf numFmtId="42" fontId="4" fillId="0" borderId="0" xfId="0" applyNumberFormat="1" applyFont="1"/>
    <xf numFmtId="3" fontId="5" fillId="0" borderId="0" xfId="0" applyNumberFormat="1" applyFont="1" applyFill="1"/>
    <xf numFmtId="6" fontId="0" fillId="0" borderId="0" xfId="0" applyNumberFormat="1" applyFont="1"/>
    <xf numFmtId="42" fontId="0" fillId="0" borderId="0" xfId="0" applyNumberFormat="1" applyFill="1"/>
    <xf numFmtId="0" fontId="0" fillId="0" borderId="0" xfId="0" applyFill="1"/>
    <xf numFmtId="41" fontId="0" fillId="0" borderId="0" xfId="0" applyNumberFormat="1" applyFill="1"/>
    <xf numFmtId="0" fontId="0" fillId="0" borderId="2" xfId="0" applyFill="1" applyBorder="1"/>
    <xf numFmtId="42" fontId="0" fillId="0" borderId="4" xfId="0" applyNumberFormat="1" applyFill="1" applyBorder="1"/>
    <xf numFmtId="3" fontId="3" fillId="0" borderId="0" xfId="0" applyNumberFormat="1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 applyFill="1"/>
    <xf numFmtId="17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1" xfId="0" applyNumberFormat="1" applyFont="1" applyBorder="1"/>
    <xf numFmtId="0" fontId="1" fillId="0" borderId="0" xfId="0" applyFont="1" applyAlignment="1">
      <alignment horizontal="left"/>
    </xf>
    <xf numFmtId="166" fontId="1" fillId="0" borderId="0" xfId="0" applyNumberFormat="1" applyFont="1"/>
    <xf numFmtId="164" fontId="0" fillId="0" borderId="0" xfId="0" applyNumberFormat="1" applyFo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3" fontId="5" fillId="0" borderId="0" xfId="0" applyNumberFormat="1" applyFont="1"/>
    <xf numFmtId="42" fontId="5" fillId="0" borderId="0" xfId="0" applyNumberFormat="1" applyFont="1"/>
    <xf numFmtId="165" fontId="0" fillId="0" borderId="0" xfId="0" applyNumberFormat="1"/>
    <xf numFmtId="10" fontId="0" fillId="0" borderId="0" xfId="0" applyNumberFormat="1" applyFont="1"/>
    <xf numFmtId="42" fontId="3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4" fillId="0" borderId="2" xfId="0" applyNumberFormat="1" applyFont="1" applyBorder="1"/>
    <xf numFmtId="10" fontId="0" fillId="0" borderId="2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168" fontId="16" fillId="0" borderId="0" xfId="0" applyNumberFormat="1" applyFont="1" applyFill="1"/>
    <xf numFmtId="168" fontId="17" fillId="0" borderId="0" xfId="0" applyNumberFormat="1" applyFont="1"/>
    <xf numFmtId="164" fontId="16" fillId="0" borderId="0" xfId="0" applyNumberFormat="1" applyFont="1"/>
    <xf numFmtId="10" fontId="16" fillId="0" borderId="0" xfId="0" applyNumberFormat="1" applyFont="1"/>
    <xf numFmtId="0" fontId="16" fillId="0" borderId="0" xfId="0" applyFont="1"/>
    <xf numFmtId="169" fontId="16" fillId="0" borderId="0" xfId="0" applyNumberFormat="1" applyFont="1" applyFill="1" applyBorder="1"/>
    <xf numFmtId="37" fontId="16" fillId="0" borderId="0" xfId="0" applyNumberFormat="1" applyFont="1"/>
    <xf numFmtId="37" fontId="16" fillId="0" borderId="0" xfId="0" applyNumberFormat="1" applyFont="1" applyFill="1"/>
    <xf numFmtId="0" fontId="16" fillId="0" borderId="0" xfId="0" applyFont="1" applyAlignment="1">
      <alignment horizontal="left"/>
    </xf>
    <xf numFmtId="3" fontId="16" fillId="0" borderId="0" xfId="0" applyNumberFormat="1" applyFont="1" applyBorder="1"/>
    <xf numFmtId="42" fontId="16" fillId="0" borderId="2" xfId="0" applyNumberFormat="1" applyFont="1" applyFill="1" applyBorder="1"/>
    <xf numFmtId="0" fontId="16" fillId="0" borderId="0" xfId="0" applyFont="1" applyFill="1"/>
    <xf numFmtId="3" fontId="0" fillId="0" borderId="0" xfId="0" applyNumberFormat="1"/>
    <xf numFmtId="10" fontId="0" fillId="0" borderId="0" xfId="0" applyNumberFormat="1"/>
    <xf numFmtId="0" fontId="19" fillId="0" borderId="0" xfId="0" applyFont="1" applyAlignment="1">
      <alignment horizontal="left"/>
    </xf>
    <xf numFmtId="42" fontId="16" fillId="0" borderId="0" xfId="0" applyNumberFormat="1" applyFont="1" applyBorder="1"/>
    <xf numFmtId="42" fontId="16" fillId="0" borderId="0" xfId="0" applyNumberFormat="1" applyFont="1"/>
    <xf numFmtId="166" fontId="16" fillId="0" borderId="0" xfId="0" applyNumberFormat="1" applyFont="1" applyFill="1"/>
    <xf numFmtId="167" fontId="16" fillId="0" borderId="0" xfId="0" applyNumberFormat="1" applyFont="1" applyFill="1"/>
    <xf numFmtId="0" fontId="16" fillId="0" borderId="0" xfId="0" applyFont="1" applyFill="1" applyBorder="1" applyAlignment="1">
      <alignment horizontal="left" vertical="center" textRotation="180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/>
    <xf numFmtId="167" fontId="16" fillId="0" borderId="0" xfId="0" applyNumberFormat="1" applyFont="1" applyFill="1" applyBorder="1"/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166" fontId="16" fillId="0" borderId="2" xfId="0" applyNumberFormat="1" applyFont="1" applyFill="1" applyBorder="1"/>
    <xf numFmtId="167" fontId="16" fillId="0" borderId="2" xfId="0" applyNumberFormat="1" applyFont="1" applyFill="1" applyBorder="1"/>
    <xf numFmtId="44" fontId="16" fillId="0" borderId="0" xfId="0" applyNumberFormat="1" applyFont="1"/>
    <xf numFmtId="167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/>
    <xf numFmtId="171" fontId="4" fillId="0" borderId="0" xfId="0" applyNumberFormat="1" applyFont="1"/>
    <xf numFmtId="0" fontId="21" fillId="0" borderId="0" xfId="0" applyFont="1" applyBorder="1"/>
    <xf numFmtId="44" fontId="21" fillId="0" borderId="0" xfId="0" applyNumberFormat="1" applyFont="1"/>
    <xf numFmtId="44" fontId="21" fillId="0" borderId="0" xfId="0" applyNumberFormat="1" applyFont="1" applyBorder="1"/>
    <xf numFmtId="44" fontId="4" fillId="0" borderId="0" xfId="0" applyNumberFormat="1" applyFont="1"/>
    <xf numFmtId="44" fontId="21" fillId="0" borderId="1" xfId="0" applyNumberFormat="1" applyFont="1" applyBorder="1"/>
    <xf numFmtId="171" fontId="4" fillId="0" borderId="1" xfId="0" applyNumberFormat="1" applyFont="1" applyBorder="1"/>
    <xf numFmtId="44" fontId="4" fillId="0" borderId="1" xfId="0" applyNumberFormat="1" applyFont="1" applyBorder="1"/>
    <xf numFmtId="168" fontId="22" fillId="0" borderId="0" xfId="0" applyNumberFormat="1" applyFont="1"/>
    <xf numFmtId="168" fontId="21" fillId="0" borderId="0" xfId="0" applyNumberFormat="1" applyFont="1" applyBorder="1"/>
    <xf numFmtId="168" fontId="4" fillId="0" borderId="0" xfId="0" applyNumberFormat="1" applyFont="1"/>
    <xf numFmtId="168" fontId="5" fillId="0" borderId="0" xfId="0" applyNumberFormat="1" applyFont="1"/>
    <xf numFmtId="168" fontId="22" fillId="0" borderId="0" xfId="0" applyNumberFormat="1" applyFont="1" applyFill="1"/>
    <xf numFmtId="168" fontId="21" fillId="0" borderId="0" xfId="0" applyNumberFormat="1" applyFont="1" applyFill="1"/>
    <xf numFmtId="168" fontId="4" fillId="0" borderId="2" xfId="0" applyNumberFormat="1" applyFont="1" applyBorder="1"/>
    <xf numFmtId="168" fontId="14" fillId="0" borderId="0" xfId="0" applyNumberFormat="1" applyFont="1"/>
    <xf numFmtId="168" fontId="0" fillId="0" borderId="0" xfId="0" applyNumberFormat="1" applyFont="1" applyFill="1"/>
    <xf numFmtId="168" fontId="12" fillId="0" borderId="0" xfId="0" applyNumberFormat="1" applyFont="1"/>
    <xf numFmtId="168" fontId="0" fillId="0" borderId="0" xfId="0" applyNumberFormat="1" applyFont="1"/>
    <xf numFmtId="171" fontId="4" fillId="0" borderId="2" xfId="0" applyNumberFormat="1" applyFont="1" applyBorder="1"/>
    <xf numFmtId="168" fontId="4" fillId="0" borderId="0" xfId="0" applyNumberFormat="1" applyFont="1" applyBorder="1"/>
    <xf numFmtId="44" fontId="4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0" fontId="4" fillId="0" borderId="0" xfId="0" applyNumberFormat="1" applyFont="1"/>
    <xf numFmtId="0" fontId="4" fillId="0" borderId="0" xfId="0" applyFont="1" applyFill="1" applyAlignment="1"/>
    <xf numFmtId="0" fontId="4" fillId="0" borderId="0" xfId="0" applyFont="1" applyAlignment="1"/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0" borderId="1" xfId="0" applyFont="1" applyFill="1" applyBorder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/>
    <xf numFmtId="169" fontId="23" fillId="0" borderId="0" xfId="0" applyNumberFormat="1" applyFont="1" applyFill="1" applyBorder="1"/>
    <xf numFmtId="165" fontId="5" fillId="0" borderId="0" xfId="0" applyNumberFormat="1" applyFont="1"/>
    <xf numFmtId="165" fontId="5" fillId="0" borderId="1" xfId="0" applyNumberFormat="1" applyFont="1" applyBorder="1"/>
    <xf numFmtId="3" fontId="23" fillId="0" borderId="0" xfId="0" applyNumberFormat="1" applyFont="1" applyFill="1"/>
    <xf numFmtId="42" fontId="23" fillId="0" borderId="0" xfId="0" applyNumberFormat="1" applyFont="1" applyFill="1" applyBorder="1"/>
    <xf numFmtId="168" fontId="23" fillId="0" borderId="0" xfId="0" applyNumberFormat="1" applyFont="1" applyFill="1"/>
    <xf numFmtId="170" fontId="23" fillId="0" borderId="0" xfId="0" applyNumberFormat="1" applyFont="1" applyFill="1" applyBorder="1"/>
    <xf numFmtId="169" fontId="18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64" fontId="0" fillId="0" borderId="0" xfId="0" applyNumberFormat="1" applyFont="1" applyFill="1"/>
    <xf numFmtId="41" fontId="9" fillId="0" borderId="2" xfId="0" applyNumberFormat="1" applyFont="1" applyFill="1" applyBorder="1"/>
    <xf numFmtId="0" fontId="9" fillId="0" borderId="2" xfId="0" applyFont="1" applyFill="1" applyBorder="1"/>
    <xf numFmtId="41" fontId="3" fillId="0" borderId="0" xfId="0" applyNumberFormat="1" applyFont="1" applyFill="1"/>
    <xf numFmtId="0" fontId="3" fillId="0" borderId="0" xfId="0" applyFont="1" applyFill="1"/>
    <xf numFmtId="42" fontId="0" fillId="0" borderId="3" xfId="0" applyNumberFormat="1" applyFill="1" applyBorder="1"/>
    <xf numFmtId="41" fontId="9" fillId="0" borderId="0" xfId="0" applyNumberFormat="1" applyFont="1" applyFill="1"/>
    <xf numFmtId="0" fontId="9" fillId="0" borderId="0" xfId="0" applyFont="1" applyFill="1"/>
    <xf numFmtId="166" fontId="9" fillId="0" borderId="0" xfId="0" applyNumberFormat="1" applyFont="1" applyFill="1"/>
    <xf numFmtId="0" fontId="2" fillId="0" borderId="0" xfId="0" applyFont="1" applyFill="1"/>
    <xf numFmtId="10" fontId="0" fillId="0" borderId="0" xfId="0" applyNumberFormat="1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7 GRC/Supplemental Filing 2017 GRC/NO MS SUPP 2017 GRC Workpapers/#Electric Model 2017 GRC CONT CALCULATION 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04Home/JDyer/Unbilled%20Reasonableness/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lsea%20Projects/Encogen/Sept%2023%20Review/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7 GRC/Settlement/Settlement Workpapers/#Gas Model 2017 GRC 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id%20Office/aaa%20Jody%20Test/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COS%20Inputs\COS%20Model\ECOS%20Model%20-%20FINAL%20COMPAN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I27" sqref="I27"/>
    </sheetView>
  </sheetViews>
  <sheetFormatPr defaultRowHeight="15" x14ac:dyDescent="0.25"/>
  <cols>
    <col min="1" max="1" width="4.5703125" style="11" customWidth="1"/>
    <col min="2" max="2" width="25.85546875" style="11" customWidth="1"/>
    <col min="3" max="3" width="10" style="11" bestFit="1" customWidth="1"/>
    <col min="4" max="5" width="12.85546875" style="11" bestFit="1" customWidth="1"/>
    <col min="6" max="6" width="18.85546875" style="11" bestFit="1" customWidth="1"/>
    <col min="7" max="7" width="10.85546875" style="11" bestFit="1" customWidth="1"/>
    <col min="8" max="10" width="13.42578125" style="11" customWidth="1"/>
    <col min="11" max="13" width="12.85546875" style="11" customWidth="1"/>
    <col min="14" max="19" width="9.28515625" style="11" customWidth="1"/>
    <col min="20" max="16384" width="9.140625" style="11"/>
  </cols>
  <sheetData>
    <row r="1" spans="1:19" x14ac:dyDescent="0.25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x14ac:dyDescent="0.25">
      <c r="B2" s="170" t="s">
        <v>66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x14ac:dyDescent="0.25">
      <c r="B3" s="170" t="s">
        <v>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x14ac:dyDescent="0.25">
      <c r="B4" s="170" t="s">
        <v>67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x14ac:dyDescent="0.25">
      <c r="N5" s="15"/>
      <c r="O5" s="15"/>
      <c r="P5" s="15"/>
      <c r="Q5" s="15"/>
      <c r="R5" s="15"/>
      <c r="S5" s="15"/>
    </row>
    <row r="6" spans="1:19" x14ac:dyDescent="0.25">
      <c r="F6" s="15"/>
      <c r="G6" s="15"/>
      <c r="H6" s="16" t="s">
        <v>3</v>
      </c>
      <c r="I6" s="16" t="s">
        <v>3</v>
      </c>
      <c r="J6" s="16" t="s">
        <v>3</v>
      </c>
      <c r="K6" s="16" t="s">
        <v>2</v>
      </c>
      <c r="L6" s="16" t="s">
        <v>2</v>
      </c>
      <c r="M6" s="16" t="s">
        <v>2</v>
      </c>
      <c r="N6" s="17" t="s">
        <v>4</v>
      </c>
      <c r="O6" s="17" t="s">
        <v>4</v>
      </c>
      <c r="P6" s="17" t="s">
        <v>4</v>
      </c>
      <c r="Q6" s="17" t="s">
        <v>4</v>
      </c>
      <c r="R6" s="17" t="s">
        <v>4</v>
      </c>
      <c r="S6" s="17" t="s">
        <v>4</v>
      </c>
    </row>
    <row r="7" spans="1:19" x14ac:dyDescent="0.25">
      <c r="B7" s="16"/>
      <c r="C7" s="16"/>
      <c r="D7" s="16" t="s">
        <v>202</v>
      </c>
      <c r="E7" s="18" t="s">
        <v>102</v>
      </c>
      <c r="F7" s="18" t="s">
        <v>32</v>
      </c>
      <c r="G7" s="16"/>
      <c r="H7" s="16" t="s">
        <v>7</v>
      </c>
      <c r="I7" s="18" t="s">
        <v>7</v>
      </c>
      <c r="J7" s="16" t="s">
        <v>7</v>
      </c>
      <c r="K7" s="16" t="s">
        <v>8</v>
      </c>
      <c r="L7" s="16" t="s">
        <v>8</v>
      </c>
      <c r="M7" s="16" t="s">
        <v>8</v>
      </c>
      <c r="N7" s="18" t="s">
        <v>8</v>
      </c>
      <c r="O7" s="18" t="s">
        <v>8</v>
      </c>
      <c r="P7" s="18" t="s">
        <v>8</v>
      </c>
      <c r="Q7" s="18" t="s">
        <v>8</v>
      </c>
      <c r="R7" s="18" t="s">
        <v>8</v>
      </c>
      <c r="S7" s="18" t="s">
        <v>8</v>
      </c>
    </row>
    <row r="8" spans="1:19" x14ac:dyDescent="0.25">
      <c r="A8" s="12" t="s">
        <v>85</v>
      </c>
      <c r="B8" s="16"/>
      <c r="C8" s="16"/>
      <c r="D8" s="18" t="s">
        <v>6</v>
      </c>
      <c r="E8" s="18" t="s">
        <v>6</v>
      </c>
      <c r="F8" s="18" t="s">
        <v>33</v>
      </c>
      <c r="G8" s="16" t="s">
        <v>5</v>
      </c>
      <c r="H8" s="16" t="s">
        <v>11</v>
      </c>
      <c r="I8" s="18" t="s">
        <v>11</v>
      </c>
      <c r="J8" s="16" t="s">
        <v>11</v>
      </c>
      <c r="K8" s="16" t="s">
        <v>41</v>
      </c>
      <c r="L8" s="16" t="s">
        <v>12</v>
      </c>
      <c r="M8" s="16" t="s">
        <v>12</v>
      </c>
      <c r="N8" s="18" t="s">
        <v>13</v>
      </c>
      <c r="O8" s="18" t="s">
        <v>13</v>
      </c>
      <c r="P8" s="18" t="s">
        <v>13</v>
      </c>
      <c r="Q8" s="18" t="s">
        <v>5</v>
      </c>
      <c r="R8" s="18" t="s">
        <v>5</v>
      </c>
      <c r="S8" s="18" t="s">
        <v>5</v>
      </c>
    </row>
    <row r="9" spans="1:19" x14ac:dyDescent="0.25">
      <c r="A9" s="1" t="s">
        <v>86</v>
      </c>
      <c r="B9" s="19" t="s">
        <v>9</v>
      </c>
      <c r="C9" s="19" t="s">
        <v>10</v>
      </c>
      <c r="D9" s="20" t="s">
        <v>34</v>
      </c>
      <c r="E9" s="20" t="s">
        <v>193</v>
      </c>
      <c r="F9" s="20" t="s">
        <v>194</v>
      </c>
      <c r="G9" s="19" t="s">
        <v>195</v>
      </c>
      <c r="H9" s="20" t="s">
        <v>35</v>
      </c>
      <c r="I9" s="19" t="s">
        <v>42</v>
      </c>
      <c r="J9" s="19" t="s">
        <v>30</v>
      </c>
      <c r="K9" s="19" t="s">
        <v>35</v>
      </c>
      <c r="L9" s="19" t="s">
        <v>40</v>
      </c>
      <c r="M9" s="19" t="s">
        <v>30</v>
      </c>
      <c r="N9" s="20" t="s">
        <v>35</v>
      </c>
      <c r="O9" s="20" t="s">
        <v>40</v>
      </c>
      <c r="P9" s="20" t="s">
        <v>30</v>
      </c>
      <c r="Q9" s="20" t="s">
        <v>35</v>
      </c>
      <c r="R9" s="20" t="s">
        <v>40</v>
      </c>
      <c r="S9" s="20" t="s">
        <v>30</v>
      </c>
    </row>
    <row r="10" spans="1:19" x14ac:dyDescent="0.25">
      <c r="B10" s="39" t="s">
        <v>68</v>
      </c>
      <c r="C10" s="39" t="s">
        <v>69</v>
      </c>
      <c r="D10" s="17" t="s">
        <v>70</v>
      </c>
      <c r="E10" s="18" t="s">
        <v>71</v>
      </c>
      <c r="F10" s="17" t="s">
        <v>72</v>
      </c>
      <c r="G10" s="18" t="s">
        <v>74</v>
      </c>
      <c r="H10" s="18" t="s">
        <v>73</v>
      </c>
      <c r="I10" s="18" t="s">
        <v>75</v>
      </c>
      <c r="J10" s="18" t="s">
        <v>76</v>
      </c>
      <c r="K10" s="18" t="s">
        <v>77</v>
      </c>
      <c r="L10" s="18" t="s">
        <v>78</v>
      </c>
      <c r="M10" s="18" t="s">
        <v>79</v>
      </c>
      <c r="N10" s="18" t="s">
        <v>80</v>
      </c>
      <c r="O10" s="18" t="s">
        <v>81</v>
      </c>
      <c r="P10" s="18" t="s">
        <v>82</v>
      </c>
      <c r="Q10" s="18" t="s">
        <v>83</v>
      </c>
      <c r="R10" s="18" t="s">
        <v>84</v>
      </c>
      <c r="S10" s="18" t="s">
        <v>200</v>
      </c>
    </row>
    <row r="11" spans="1:19" x14ac:dyDescent="0.25">
      <c r="A11" s="39">
        <v>1</v>
      </c>
      <c r="B11" s="11" t="s">
        <v>14</v>
      </c>
      <c r="C11" s="11" t="s">
        <v>15</v>
      </c>
      <c r="D11" s="3">
        <v>0.67622515362340629</v>
      </c>
      <c r="E11" s="3">
        <v>0.64039693758693506</v>
      </c>
      <c r="F11" s="31">
        <f>SUM('Forecasted Volume'!N8:N10)</f>
        <v>610419270</v>
      </c>
      <c r="G11" s="2"/>
      <c r="H11" s="21">
        <f>H$23*E11</f>
        <v>11739289.515531791</v>
      </c>
      <c r="I11" s="30">
        <f>$I$23*$D11</f>
        <v>3202951.2819079719</v>
      </c>
      <c r="J11" s="21">
        <f t="shared" ref="J11:J17" si="0">SUM(H11:I11)</f>
        <v>14942240.797439763</v>
      </c>
      <c r="K11" s="40">
        <f t="shared" ref="K11:K17" si="1">ROUND(H11/$F11,5)</f>
        <v>1.9230000000000001E-2</v>
      </c>
      <c r="L11" s="40">
        <f>ROUND((+I11)/$F11,5)</f>
        <v>5.2500000000000003E-3</v>
      </c>
      <c r="M11" s="40">
        <f>SUM(K11:L11)</f>
        <v>2.4480000000000002E-2</v>
      </c>
      <c r="N11" s="23">
        <f>ROUND(K11*19,2)</f>
        <v>0.37</v>
      </c>
      <c r="O11" s="23">
        <f>ROUND(L11*19,2)</f>
        <v>0.1</v>
      </c>
      <c r="P11" s="23">
        <f>SUM(N11:O11)</f>
        <v>0.47</v>
      </c>
      <c r="Q11" s="22"/>
      <c r="R11" s="22"/>
      <c r="S11" s="15"/>
    </row>
    <row r="12" spans="1:19" x14ac:dyDescent="0.25">
      <c r="A12" s="39">
        <f>A11+1</f>
        <v>2</v>
      </c>
      <c r="B12" s="11" t="s">
        <v>16</v>
      </c>
      <c r="C12" s="11" t="s">
        <v>17</v>
      </c>
      <c r="D12" s="3">
        <v>0.22920465037413362</v>
      </c>
      <c r="E12" s="3">
        <v>0.27010693445647399</v>
      </c>
      <c r="F12" s="31">
        <f>SUM('Forecasted Volume'!N11,'Forecasted Volume'!N16)</f>
        <v>228911718</v>
      </c>
      <c r="G12" s="2"/>
      <c r="H12" s="21">
        <f t="shared" ref="H12:H17" si="2">H$23*E12</f>
        <v>4951403.2900990676</v>
      </c>
      <c r="I12" s="30">
        <f t="shared" ref="I12:I17" si="3">$I$23*$D12</f>
        <v>1085631.5012853572</v>
      </c>
      <c r="J12" s="21">
        <f t="shared" si="0"/>
        <v>6037034.791384425</v>
      </c>
      <c r="K12" s="40">
        <f t="shared" si="1"/>
        <v>2.163E-2</v>
      </c>
      <c r="L12" s="40">
        <f t="shared" ref="L12:L17" si="4">ROUND((+I12)/$F12,5)</f>
        <v>4.7400000000000003E-3</v>
      </c>
      <c r="M12" s="40">
        <f t="shared" ref="M12:M17" si="5">SUM(K12:L12)</f>
        <v>2.6370000000000001E-2</v>
      </c>
      <c r="N12" s="22"/>
      <c r="O12" s="22"/>
      <c r="P12" s="15"/>
      <c r="Q12" s="22"/>
      <c r="R12" s="22"/>
      <c r="S12" s="15"/>
    </row>
    <row r="13" spans="1:19" x14ac:dyDescent="0.25">
      <c r="A13" s="39">
        <f t="shared" ref="A13:A23" si="6">A12+1</f>
        <v>3</v>
      </c>
      <c r="B13" s="11" t="s">
        <v>18</v>
      </c>
      <c r="C13" s="11" t="s">
        <v>19</v>
      </c>
      <c r="D13" s="3">
        <v>3.7484176682209838E-2</v>
      </c>
      <c r="E13" s="3">
        <v>3.6349996225221455E-2</v>
      </c>
      <c r="F13" s="31">
        <f>SUM('Forecasted Volume'!N12,'Forecasted Volume'!N17)</f>
        <v>92543474</v>
      </c>
      <c r="G13" s="2"/>
      <c r="H13" s="21">
        <f t="shared" si="2"/>
        <v>666341.61491197627</v>
      </c>
      <c r="I13" s="30">
        <f t="shared" si="3"/>
        <v>177544.40383093324</v>
      </c>
      <c r="J13" s="21">
        <f t="shared" si="0"/>
        <v>843886.01874290954</v>
      </c>
      <c r="K13" s="40">
        <f t="shared" si="1"/>
        <v>7.1999999999999998E-3</v>
      </c>
      <c r="L13" s="40">
        <f t="shared" si="4"/>
        <v>1.92E-3</v>
      </c>
      <c r="M13" s="40">
        <f t="shared" si="5"/>
        <v>9.1199999999999996E-3</v>
      </c>
      <c r="N13" s="22"/>
      <c r="O13" s="22"/>
      <c r="P13" s="15"/>
      <c r="Q13" s="22"/>
      <c r="R13" s="22"/>
      <c r="S13" s="15"/>
    </row>
    <row r="14" spans="1:19" x14ac:dyDescent="0.25">
      <c r="A14" s="39">
        <f t="shared" si="6"/>
        <v>4</v>
      </c>
      <c r="B14" s="11" t="s">
        <v>20</v>
      </c>
      <c r="C14" s="11" t="s">
        <v>21</v>
      </c>
      <c r="D14" s="3">
        <v>1.7630659025831098E-2</v>
      </c>
      <c r="E14" s="3">
        <v>2.1521899240408551E-2</v>
      </c>
      <c r="F14" s="31">
        <f>SUM('Forecasted Volume'!N13,'Forecasted Volume'!N18)</f>
        <v>108318631</v>
      </c>
      <c r="G14" s="2"/>
      <c r="H14" s="21">
        <f t="shared" si="2"/>
        <v>394523.75749839027</v>
      </c>
      <c r="I14" s="30">
        <f t="shared" si="3"/>
        <v>83507.899144367853</v>
      </c>
      <c r="J14" s="21">
        <f t="shared" si="0"/>
        <v>478031.65664275811</v>
      </c>
      <c r="K14" s="40">
        <f t="shared" si="1"/>
        <v>3.64E-3</v>
      </c>
      <c r="L14" s="40">
        <f t="shared" si="4"/>
        <v>7.6999999999999996E-4</v>
      </c>
      <c r="M14" s="40">
        <f t="shared" si="5"/>
        <v>4.4099999999999999E-3</v>
      </c>
      <c r="N14" s="22"/>
      <c r="O14" s="22"/>
      <c r="P14" s="15"/>
      <c r="Q14" s="22"/>
      <c r="R14" s="22"/>
      <c r="S14" s="15"/>
    </row>
    <row r="15" spans="1:19" x14ac:dyDescent="0.25">
      <c r="A15" s="39">
        <f t="shared" si="6"/>
        <v>5</v>
      </c>
      <c r="B15" s="11" t="s">
        <v>22</v>
      </c>
      <c r="C15" s="11" t="s">
        <v>23</v>
      </c>
      <c r="D15" s="3">
        <v>4.5194497332465035E-3</v>
      </c>
      <c r="E15" s="3">
        <v>3.1708483832259353E-3</v>
      </c>
      <c r="F15" s="31">
        <f>SUM('Forecasted Volume'!N14,'Forecasted Volume'!N19)</f>
        <v>9327248</v>
      </c>
      <c r="G15" s="2"/>
      <c r="H15" s="21">
        <f t="shared" si="2"/>
        <v>58125.679552444759</v>
      </c>
      <c r="I15" s="30">
        <f t="shared" si="3"/>
        <v>21406.446120875982</v>
      </c>
      <c r="J15" s="21">
        <f t="shared" si="0"/>
        <v>79532.125673320741</v>
      </c>
      <c r="K15" s="40">
        <f t="shared" si="1"/>
        <v>6.2300000000000003E-3</v>
      </c>
      <c r="L15" s="40">
        <f t="shared" si="4"/>
        <v>2.3E-3</v>
      </c>
      <c r="M15" s="40">
        <f t="shared" si="5"/>
        <v>8.5299999999999994E-3</v>
      </c>
      <c r="N15" s="22"/>
      <c r="O15" s="22"/>
      <c r="P15" s="15"/>
      <c r="Q15" s="22"/>
      <c r="R15" s="22"/>
      <c r="S15" s="15"/>
    </row>
    <row r="16" spans="1:19" x14ac:dyDescent="0.25">
      <c r="A16" s="39">
        <f t="shared" si="6"/>
        <v>6</v>
      </c>
      <c r="B16" s="11" t="s">
        <v>24</v>
      </c>
      <c r="C16" s="11" t="s">
        <v>25</v>
      </c>
      <c r="D16" s="3">
        <v>1.495398520125229E-2</v>
      </c>
      <c r="E16" s="3">
        <v>1.4994779333537874E-2</v>
      </c>
      <c r="F16" s="31">
        <f>SUM('Forecasted Volume'!N15,'Forecasted Volume'!N20)</f>
        <v>117500931</v>
      </c>
      <c r="G16" s="2"/>
      <c r="H16" s="21">
        <f t="shared" si="2"/>
        <v>274873.35664221196</v>
      </c>
      <c r="I16" s="30">
        <f t="shared" si="3"/>
        <v>70829.790659721475</v>
      </c>
      <c r="J16" s="21">
        <f t="shared" si="0"/>
        <v>345703.14730193344</v>
      </c>
      <c r="K16" s="40">
        <f t="shared" si="1"/>
        <v>2.3400000000000001E-3</v>
      </c>
      <c r="L16" s="40">
        <f t="shared" si="4"/>
        <v>5.9999999999999995E-4</v>
      </c>
      <c r="M16" s="40">
        <f t="shared" si="5"/>
        <v>2.9399999999999999E-3</v>
      </c>
      <c r="N16" s="22"/>
      <c r="O16" s="22"/>
      <c r="P16" s="15"/>
      <c r="Q16" s="22"/>
      <c r="R16" s="22"/>
      <c r="S16" s="15"/>
    </row>
    <row r="17" spans="1:19" x14ac:dyDescent="0.25">
      <c r="A17" s="39">
        <f t="shared" si="6"/>
        <v>7</v>
      </c>
      <c r="B17" s="11" t="s">
        <v>26</v>
      </c>
      <c r="D17" s="3">
        <v>6.0968193516996848E-3</v>
      </c>
      <c r="E17" s="3">
        <v>5.5609610416970292E-3</v>
      </c>
      <c r="F17" s="31">
        <f>'Forecasted Volume'!N21</f>
        <v>40856074</v>
      </c>
      <c r="G17" s="2"/>
      <c r="H17" s="21">
        <f t="shared" si="2"/>
        <v>101939.48131460664</v>
      </c>
      <c r="I17" s="30">
        <f t="shared" si="3"/>
        <v>28877.682608303254</v>
      </c>
      <c r="J17" s="21">
        <f t="shared" si="0"/>
        <v>130817.16392290989</v>
      </c>
      <c r="K17" s="40">
        <f t="shared" si="1"/>
        <v>2.5000000000000001E-3</v>
      </c>
      <c r="L17" s="40">
        <f t="shared" si="4"/>
        <v>7.1000000000000002E-4</v>
      </c>
      <c r="M17" s="40">
        <f t="shared" si="5"/>
        <v>3.2100000000000002E-3</v>
      </c>
      <c r="N17" s="22"/>
      <c r="O17" s="22"/>
      <c r="P17" s="15"/>
      <c r="Q17" s="22"/>
      <c r="R17" s="22"/>
      <c r="S17" s="15"/>
    </row>
    <row r="18" spans="1:19" x14ac:dyDescent="0.25">
      <c r="A18" s="39">
        <f t="shared" si="6"/>
        <v>8</v>
      </c>
      <c r="B18" s="11" t="s">
        <v>27</v>
      </c>
      <c r="D18" s="5">
        <f>SUM(D11:D17)</f>
        <v>0.98611489399177921</v>
      </c>
      <c r="E18" s="5">
        <f>SUM(E11:E17)</f>
        <v>0.99210235626749999</v>
      </c>
      <c r="F18" s="24">
        <f>SUM(F11:F17)</f>
        <v>1207877346</v>
      </c>
      <c r="G18" s="24"/>
      <c r="H18" s="25">
        <f t="shared" ref="H18" si="7">SUM(H11:H17)</f>
        <v>18186496.69555049</v>
      </c>
      <c r="I18" s="25">
        <f t="shared" ref="I18" si="8">SUM(I11:I17)</f>
        <v>4670749.0055575324</v>
      </c>
      <c r="J18" s="25">
        <f>SUM(J11:J17)</f>
        <v>22857245.70110802</v>
      </c>
      <c r="K18" s="26"/>
      <c r="L18" s="26"/>
      <c r="M18" s="15"/>
      <c r="N18" s="15"/>
      <c r="O18" s="15"/>
      <c r="P18" s="15"/>
      <c r="Q18" s="15"/>
      <c r="R18" s="15"/>
      <c r="S18" s="15"/>
    </row>
    <row r="19" spans="1:19" x14ac:dyDescent="0.25">
      <c r="A19" s="39">
        <f t="shared" si="6"/>
        <v>9</v>
      </c>
      <c r="D19" s="46"/>
      <c r="E19" s="6"/>
      <c r="F19" s="27"/>
      <c r="M19" s="15"/>
      <c r="N19" s="15"/>
      <c r="O19" s="15"/>
      <c r="P19" s="15"/>
      <c r="Q19" s="15"/>
      <c r="R19" s="15"/>
      <c r="S19" s="15"/>
    </row>
    <row r="20" spans="1:19" x14ac:dyDescent="0.25">
      <c r="A20" s="39">
        <f t="shared" si="6"/>
        <v>10</v>
      </c>
      <c r="B20" s="11" t="s">
        <v>28</v>
      </c>
      <c r="C20" s="11" t="s">
        <v>29</v>
      </c>
      <c r="D20" s="7">
        <v>1.3885106008220641E-2</v>
      </c>
      <c r="E20" s="7">
        <v>7.8976437324998049E-3</v>
      </c>
      <c r="F20" s="2">
        <v>0</v>
      </c>
      <c r="G20" s="38">
        <v>356929</v>
      </c>
      <c r="H20" s="21">
        <f>H$23*E20</f>
        <v>144773.8438845273</v>
      </c>
      <c r="I20" s="30">
        <f>$I$23*D20</f>
        <v>65767.027224819612</v>
      </c>
      <c r="J20" s="21">
        <f>SUM(H20:I20)</f>
        <v>210540.87110934692</v>
      </c>
      <c r="K20" s="21"/>
      <c r="L20" s="21"/>
      <c r="M20" s="15"/>
      <c r="N20" s="15"/>
      <c r="O20" s="15"/>
      <c r="P20" s="15"/>
      <c r="Q20" s="23">
        <f>ROUND(H20/$G$20,2)</f>
        <v>0.41</v>
      </c>
      <c r="R20" s="23">
        <f>ROUND((+I20)/$G$20,2)</f>
        <v>0.18</v>
      </c>
      <c r="S20" s="23">
        <f>SUM(Q20:R20)</f>
        <v>0.59</v>
      </c>
    </row>
    <row r="21" spans="1:19" x14ac:dyDescent="0.25">
      <c r="A21" s="39">
        <f t="shared" si="6"/>
        <v>11</v>
      </c>
      <c r="B21" s="11" t="s">
        <v>30</v>
      </c>
      <c r="D21" s="8">
        <f>D18+D20</f>
        <v>0.99999999999999989</v>
      </c>
      <c r="E21" s="8">
        <f>E18+E20</f>
        <v>0.99999999999999978</v>
      </c>
      <c r="F21" s="28"/>
      <c r="G21" s="28"/>
      <c r="H21" s="25">
        <f>H18+H20</f>
        <v>18331270.539435018</v>
      </c>
      <c r="I21" s="25">
        <f>I18+I20</f>
        <v>4736516.0327823516</v>
      </c>
      <c r="J21" s="25">
        <f>J18+J20</f>
        <v>23067786.572217368</v>
      </c>
      <c r="K21" s="26"/>
      <c r="L21" s="26"/>
    </row>
    <row r="22" spans="1:19" x14ac:dyDescent="0.25">
      <c r="A22" s="39">
        <f t="shared" si="6"/>
        <v>12</v>
      </c>
      <c r="E22" s="9"/>
    </row>
    <row r="23" spans="1:19" x14ac:dyDescent="0.25">
      <c r="A23" s="39">
        <f t="shared" si="6"/>
        <v>13</v>
      </c>
      <c r="B23" s="11" t="s">
        <v>31</v>
      </c>
      <c r="H23" s="13">
        <f>'Rev Requirement'!I18</f>
        <v>18331270.539435022</v>
      </c>
      <c r="I23" s="13">
        <f>'Rev Requirement'!I19</f>
        <v>4736516.0327823507</v>
      </c>
      <c r="J23" s="10">
        <f>SUM(H23:I23)</f>
        <v>23067786.572217371</v>
      </c>
      <c r="K23" s="10"/>
      <c r="L23" s="10"/>
    </row>
    <row r="25" spans="1:19" x14ac:dyDescent="0.25">
      <c r="J25" s="32"/>
    </row>
    <row r="26" spans="1:19" x14ac:dyDescent="0.25">
      <c r="B26" s="11" t="s">
        <v>198</v>
      </c>
      <c r="E26" s="15"/>
    </row>
    <row r="27" spans="1:19" x14ac:dyDescent="0.25">
      <c r="B27" s="11" t="s">
        <v>196</v>
      </c>
      <c r="E27" s="15"/>
    </row>
    <row r="28" spans="1:19" x14ac:dyDescent="0.25">
      <c r="B28" s="11" t="s">
        <v>197</v>
      </c>
      <c r="E28" s="15"/>
    </row>
    <row r="29" spans="1:19" x14ac:dyDescent="0.25">
      <c r="B29" s="11" t="s">
        <v>199</v>
      </c>
      <c r="E29" s="15"/>
      <c r="J29" s="21"/>
    </row>
    <row r="30" spans="1:19" x14ac:dyDescent="0.25">
      <c r="E30" s="15"/>
    </row>
    <row r="31" spans="1:19" x14ac:dyDescent="0.25">
      <c r="E31" s="15"/>
    </row>
    <row r="32" spans="1:19" x14ac:dyDescent="0.25">
      <c r="E32" s="15"/>
    </row>
  </sheetData>
  <mergeCells count="4">
    <mergeCell ref="B1:S1"/>
    <mergeCell ref="B2:S2"/>
    <mergeCell ref="B3:S3"/>
    <mergeCell ref="B4:S4"/>
  </mergeCells>
  <printOptions horizontalCentered="1"/>
  <pageMargins left="0.45" right="0.45" top="0.75" bottom="0.75" header="0.3" footer="0.3"/>
  <pageSetup scale="55"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pane xSplit="2" ySplit="4" topLeftCell="C5" activePane="bottomRight" state="frozen"/>
      <selection activeCell="D11" sqref="D11"/>
      <selection pane="topRight" activeCell="D11" sqref="D11"/>
      <selection pane="bottomLeft" activeCell="D11" sqref="D11"/>
      <selection pane="bottomRight" activeCell="B41" sqref="B41"/>
    </sheetView>
  </sheetViews>
  <sheetFormatPr defaultColWidth="8.85546875" defaultRowHeight="15" x14ac:dyDescent="0.25"/>
  <cols>
    <col min="1" max="1" width="5.140625" style="149" customWidth="1"/>
    <col min="2" max="2" width="40" style="34" customWidth="1"/>
    <col min="3" max="3" width="8.85546875" style="150" bestFit="1" customWidth="1"/>
    <col min="4" max="5" width="12.5703125" style="34" bestFit="1" customWidth="1"/>
    <col min="6" max="6" width="22.5703125" style="34" customWidth="1"/>
    <col min="7" max="7" width="3.7109375" style="34" customWidth="1"/>
    <col min="8" max="9" width="13.28515625" style="34" bestFit="1" customWidth="1"/>
    <col min="10" max="10" width="12.5703125" style="34" bestFit="1" customWidth="1"/>
    <col min="11" max="11" width="8.85546875" style="34"/>
    <col min="12" max="14" width="12.5703125" style="34" bestFit="1" customWidth="1"/>
    <col min="15" max="15" width="4.5703125" style="34" customWidth="1"/>
    <col min="16" max="18" width="12.5703125" style="34" bestFit="1" customWidth="1"/>
    <col min="19" max="19" width="4.7109375" style="34" customWidth="1"/>
    <col min="20" max="22" width="12.28515625" style="34" bestFit="1" customWidth="1"/>
    <col min="23" max="23" width="5.28515625" style="34" customWidth="1"/>
    <col min="24" max="26" width="12.28515625" style="34" bestFit="1" customWidth="1"/>
    <col min="27" max="16384" width="8.85546875" style="34"/>
  </cols>
  <sheetData>
    <row r="1" spans="1:14" ht="18.75" x14ac:dyDescent="0.3">
      <c r="A1" s="145" t="s">
        <v>203</v>
      </c>
      <c r="C1" s="146"/>
      <c r="E1" s="147"/>
      <c r="F1" s="148"/>
      <c r="G1" s="148"/>
      <c r="H1" s="148"/>
      <c r="I1" s="148"/>
      <c r="J1" s="148"/>
      <c r="K1" s="148"/>
      <c r="L1" s="148"/>
      <c r="M1" s="148"/>
    </row>
    <row r="2" spans="1:14" ht="18.75" x14ac:dyDescent="0.3">
      <c r="B2" s="145"/>
      <c r="C2" s="146"/>
    </row>
    <row r="3" spans="1:14" x14ac:dyDescent="0.25">
      <c r="D3" s="151" t="s">
        <v>43</v>
      </c>
      <c r="E3" s="152"/>
      <c r="F3" s="153"/>
      <c r="H3" s="151" t="s">
        <v>44</v>
      </c>
      <c r="I3" s="153"/>
      <c r="J3" s="153"/>
    </row>
    <row r="4" spans="1:14" x14ac:dyDescent="0.25">
      <c r="D4" s="154" t="s">
        <v>45</v>
      </c>
      <c r="E4" s="154" t="s">
        <v>46</v>
      </c>
      <c r="F4" s="154" t="s">
        <v>30</v>
      </c>
      <c r="H4" s="154" t="s">
        <v>45</v>
      </c>
      <c r="I4" s="154" t="s">
        <v>46</v>
      </c>
      <c r="J4" s="154" t="s">
        <v>30</v>
      </c>
    </row>
    <row r="5" spans="1:14" x14ac:dyDescent="0.25">
      <c r="H5" s="34">
        <v>0.95238599999999995</v>
      </c>
      <c r="I5" s="34">
        <v>0.954538</v>
      </c>
    </row>
    <row r="6" spans="1:14" x14ac:dyDescent="0.25">
      <c r="A6" s="149">
        <v>1</v>
      </c>
      <c r="B6" s="34" t="s">
        <v>95</v>
      </c>
      <c r="D6" s="33">
        <v>60951385.482407756</v>
      </c>
      <c r="E6" s="33">
        <v>24091323.588776078</v>
      </c>
      <c r="F6" s="33">
        <f>SUM(D6:E6)</f>
        <v>85042709.07118383</v>
      </c>
      <c r="H6" s="33">
        <f>+D6/$H$5</f>
        <v>63998615.563865662</v>
      </c>
      <c r="I6" s="33">
        <f>+E6/$I$5</f>
        <v>25238726.576392014</v>
      </c>
      <c r="J6" s="33">
        <f>SUM(H6:I6)</f>
        <v>89237342.140257671</v>
      </c>
    </row>
    <row r="8" spans="1:14" x14ac:dyDescent="0.25">
      <c r="A8" s="149">
        <v>2</v>
      </c>
      <c r="B8" s="34" t="s">
        <v>47</v>
      </c>
    </row>
    <row r="9" spans="1:14" x14ac:dyDescent="0.25">
      <c r="A9" s="149">
        <v>3</v>
      </c>
      <c r="B9" s="155" t="s">
        <v>96</v>
      </c>
      <c r="D9" s="35">
        <v>61210374</v>
      </c>
      <c r="E9" s="35">
        <v>22280077</v>
      </c>
      <c r="F9" s="35">
        <f>SUM(D9:E9)</f>
        <v>83490451</v>
      </c>
      <c r="H9" s="35">
        <f t="shared" ref="H9:H11" si="0">+D9/$H$5</f>
        <v>64270552.066074051</v>
      </c>
      <c r="I9" s="35">
        <f t="shared" ref="I9:I11" si="1">+E9/$I$5</f>
        <v>23341215.33139592</v>
      </c>
      <c r="J9" s="35">
        <f>SUM(H9:I9)</f>
        <v>87611767.397469968</v>
      </c>
      <c r="L9" s="35"/>
      <c r="M9" s="35"/>
      <c r="N9" s="35"/>
    </row>
    <row r="10" spans="1:14" x14ac:dyDescent="0.25">
      <c r="A10" s="149">
        <v>4</v>
      </c>
      <c r="B10" s="155" t="s">
        <v>95</v>
      </c>
      <c r="C10" s="156" t="s">
        <v>48</v>
      </c>
      <c r="D10" s="35">
        <f>D6</f>
        <v>60951385.482407756</v>
      </c>
      <c r="E10" s="35">
        <f>E6</f>
        <v>24091323.588776078</v>
      </c>
      <c r="F10" s="35">
        <f>SUM(D10:E10)</f>
        <v>85042709.07118383</v>
      </c>
      <c r="H10" s="35">
        <f t="shared" si="0"/>
        <v>63998615.563865662</v>
      </c>
      <c r="I10" s="35">
        <f t="shared" si="1"/>
        <v>25238726.576392014</v>
      </c>
      <c r="J10" s="35">
        <f>SUM(H10:I10)</f>
        <v>89237342.140257671</v>
      </c>
      <c r="L10" s="35"/>
      <c r="M10" s="35"/>
      <c r="N10" s="35"/>
    </row>
    <row r="11" spans="1:14" x14ac:dyDescent="0.25">
      <c r="A11" s="149">
        <v>5</v>
      </c>
      <c r="B11" s="34" t="s">
        <v>97</v>
      </c>
      <c r="D11" s="35">
        <v>-897059.75998074166</v>
      </c>
      <c r="E11" s="35">
        <v>-260998.14092877274</v>
      </c>
      <c r="F11" s="35">
        <f>SUM(D11:E11)</f>
        <v>-1158057.9009095144</v>
      </c>
      <c r="H11" s="35">
        <f t="shared" si="0"/>
        <v>-941907.75586867263</v>
      </c>
      <c r="I11" s="35">
        <f t="shared" si="1"/>
        <v>-273428.75917854789</v>
      </c>
      <c r="J11" s="35">
        <f>SUM(H11:I11)</f>
        <v>-1215336.5150472205</v>
      </c>
      <c r="L11" s="157"/>
      <c r="M11" s="157"/>
      <c r="N11" s="35"/>
    </row>
    <row r="12" spans="1:14" x14ac:dyDescent="0.25">
      <c r="D12" s="36"/>
      <c r="E12" s="36"/>
      <c r="F12" s="36"/>
      <c r="H12" s="158">
        <v>0</v>
      </c>
      <c r="I12" s="158">
        <v>0</v>
      </c>
      <c r="J12" s="159" t="s">
        <v>98</v>
      </c>
      <c r="L12" s="35"/>
      <c r="M12" s="35"/>
    </row>
    <row r="13" spans="1:14" x14ac:dyDescent="0.25">
      <c r="A13" s="149">
        <v>6</v>
      </c>
      <c r="B13" s="34" t="s">
        <v>99</v>
      </c>
      <c r="C13" s="156" t="s">
        <v>49</v>
      </c>
      <c r="D13" s="35">
        <f>D9-D10+D11</f>
        <v>-638071.24238849781</v>
      </c>
      <c r="E13" s="35">
        <f t="shared" ref="E13" si="2">E9-E10+E11</f>
        <v>-2072244.7297048508</v>
      </c>
      <c r="F13" s="35">
        <f>SUM(D13:E13)</f>
        <v>-2710315.9720933484</v>
      </c>
      <c r="H13" s="35">
        <f>H9-H10+H11</f>
        <v>-669971.25366028328</v>
      </c>
      <c r="I13" s="35">
        <f t="shared" ref="I13" si="3">I9-I10+I11</f>
        <v>-2170940.0041746413</v>
      </c>
      <c r="J13" s="35">
        <f>SUM(H13:I13)</f>
        <v>-2840911.2578349244</v>
      </c>
      <c r="K13" s="160"/>
      <c r="L13" s="160"/>
      <c r="M13" s="160"/>
    </row>
    <row r="14" spans="1:14" x14ac:dyDescent="0.25">
      <c r="D14" s="36"/>
      <c r="E14" s="36"/>
      <c r="F14" s="36"/>
      <c r="H14" s="36"/>
      <c r="I14" s="36"/>
      <c r="J14" s="36"/>
      <c r="K14" s="161"/>
      <c r="L14" s="161"/>
      <c r="M14" s="161"/>
    </row>
    <row r="15" spans="1:14" ht="15.75" thickBot="1" x14ac:dyDescent="0.3">
      <c r="A15" s="149">
        <v>7</v>
      </c>
      <c r="B15" s="34" t="s">
        <v>50</v>
      </c>
      <c r="C15" s="156" t="s">
        <v>51</v>
      </c>
      <c r="D15" s="37">
        <f>D6+D13</f>
        <v>60313314.240019262</v>
      </c>
      <c r="E15" s="37">
        <f t="shared" ref="E15" si="4">E6+E13</f>
        <v>22019078.859071229</v>
      </c>
      <c r="F15" s="37">
        <f>SUM(D15:E15)</f>
        <v>82332393.099090487</v>
      </c>
      <c r="H15" s="37">
        <f>H6+H13</f>
        <v>63328644.310205378</v>
      </c>
      <c r="I15" s="37">
        <f t="shared" ref="I15" si="5">I6+I13</f>
        <v>23067786.572217371</v>
      </c>
      <c r="J15" s="37">
        <f>SUM(H15:I15)</f>
        <v>86396430.882422745</v>
      </c>
    </row>
    <row r="16" spans="1:14" ht="15.75" thickTop="1" x14ac:dyDescent="0.25"/>
    <row r="18" spans="1:11" x14ac:dyDescent="0.25">
      <c r="A18" s="149">
        <v>8</v>
      </c>
      <c r="B18" s="34" t="s">
        <v>52</v>
      </c>
      <c r="C18" s="156" t="s">
        <v>53</v>
      </c>
      <c r="D18" s="33">
        <f>D15-D19</f>
        <v>38719213.927002817</v>
      </c>
      <c r="E18" s="33">
        <f t="shared" ref="E18" si="6">E15-E19</f>
        <v>17497894.318171229</v>
      </c>
      <c r="F18" s="33">
        <f>SUM(D18:E18)</f>
        <v>56217108.24517405</v>
      </c>
      <c r="H18" s="33">
        <f>H15-H19</f>
        <v>40654959.152069449</v>
      </c>
      <c r="I18" s="33">
        <f t="shared" ref="I18" si="7">I15-I19</f>
        <v>18331270.539435022</v>
      </c>
      <c r="J18" s="33">
        <f>SUM(H18:I18)</f>
        <v>58986229.691504471</v>
      </c>
    </row>
    <row r="19" spans="1:11" x14ac:dyDescent="0.25">
      <c r="A19" s="149">
        <v>9</v>
      </c>
      <c r="B19" s="34" t="s">
        <v>54</v>
      </c>
      <c r="D19" s="35">
        <v>21594100.313016444</v>
      </c>
      <c r="E19" s="35">
        <v>4521184.5408999994</v>
      </c>
      <c r="F19" s="35">
        <f>SUM(D19:E19)</f>
        <v>26115284.853916444</v>
      </c>
      <c r="H19" s="35">
        <f>+D19/$H$5</f>
        <v>22673685.158135928</v>
      </c>
      <c r="I19" s="35">
        <f>+E19/$I$5</f>
        <v>4736516.0327823507</v>
      </c>
      <c r="J19" s="35">
        <f>SUM(H19:I19)</f>
        <v>27410201.190918278</v>
      </c>
    </row>
    <row r="20" spans="1:11" x14ac:dyDescent="0.25">
      <c r="D20" s="36"/>
      <c r="E20" s="36"/>
      <c r="F20" s="36"/>
      <c r="H20" s="36"/>
      <c r="I20" s="36"/>
      <c r="J20" s="36"/>
    </row>
    <row r="21" spans="1:11" ht="15.75" thickBot="1" x14ac:dyDescent="0.3">
      <c r="A21" s="149">
        <v>10</v>
      </c>
      <c r="B21" s="34" t="s">
        <v>50</v>
      </c>
      <c r="C21" s="156" t="s">
        <v>55</v>
      </c>
      <c r="D21" s="37">
        <f>SUM(D18:D20)</f>
        <v>60313314.240019262</v>
      </c>
      <c r="E21" s="37">
        <f>SUM(E18:E20)</f>
        <v>22019078.859071229</v>
      </c>
      <c r="F21" s="37">
        <f>SUM(D21:E21)</f>
        <v>82332393.099090487</v>
      </c>
      <c r="H21" s="37">
        <f>SUM(H18:H20)</f>
        <v>63328644.310205378</v>
      </c>
      <c r="I21" s="37">
        <f t="shared" ref="I21" si="8">SUM(I18:I20)</f>
        <v>23067786.572217371</v>
      </c>
      <c r="J21" s="37">
        <f>SUM(H21:I21)</f>
        <v>86396430.882422745</v>
      </c>
    </row>
    <row r="22" spans="1:11" ht="15.75" thickTop="1" x14ac:dyDescent="0.25"/>
    <row r="23" spans="1:11" x14ac:dyDescent="0.25">
      <c r="D23" s="33"/>
      <c r="E23" s="33"/>
      <c r="F23" s="33"/>
    </row>
    <row r="24" spans="1:11" x14ac:dyDescent="0.25">
      <c r="A24" s="149">
        <v>11</v>
      </c>
      <c r="B24" s="34" t="s">
        <v>56</v>
      </c>
    </row>
    <row r="25" spans="1:11" x14ac:dyDescent="0.25">
      <c r="A25" s="149">
        <f>+A24+1</f>
        <v>12</v>
      </c>
      <c r="B25" s="155" t="s">
        <v>57</v>
      </c>
      <c r="D25" s="35">
        <v>3251292</v>
      </c>
      <c r="E25" s="35">
        <v>1673589</v>
      </c>
      <c r="F25" s="35">
        <f>SUM(D25:E25)</f>
        <v>4924881</v>
      </c>
      <c r="H25" s="35">
        <f t="shared" ref="H25:H26" si="9">+D25/$H$5</f>
        <v>3413838.5066559147</v>
      </c>
      <c r="I25" s="35">
        <f t="shared" ref="I25:I26" si="10">+E25/$I$5</f>
        <v>1753297.4067035571</v>
      </c>
      <c r="J25" s="35">
        <f>SUM(H25:I25)</f>
        <v>5167135.9133594716</v>
      </c>
    </row>
    <row r="26" spans="1:11" x14ac:dyDescent="0.25">
      <c r="A26" s="149">
        <f t="shared" ref="A26:A27" si="11">+A25+1</f>
        <v>13</v>
      </c>
      <c r="B26" s="155" t="s">
        <v>58</v>
      </c>
      <c r="D26" s="35">
        <v>-3889363.2423884971</v>
      </c>
      <c r="E26" s="35">
        <v>-3745833.7297048504</v>
      </c>
      <c r="F26" s="35">
        <f>SUM(D26:E26)</f>
        <v>-7635196.9720933475</v>
      </c>
      <c r="H26" s="35">
        <f t="shared" si="9"/>
        <v>-4083809.7603161926</v>
      </c>
      <c r="I26" s="35">
        <f t="shared" si="10"/>
        <v>-3924237.410878195</v>
      </c>
      <c r="J26" s="35">
        <f>SUM(H26:I26)</f>
        <v>-8008047.1711943876</v>
      </c>
    </row>
    <row r="27" spans="1:11" ht="15.75" thickBot="1" x14ac:dyDescent="0.3">
      <c r="A27" s="149">
        <f t="shared" si="11"/>
        <v>14</v>
      </c>
      <c r="B27" s="34" t="s">
        <v>59</v>
      </c>
      <c r="D27" s="162">
        <f>SUM(D25:D26)</f>
        <v>-638071.24238849711</v>
      </c>
      <c r="E27" s="162">
        <f>SUM(E25:E26)</f>
        <v>-2072244.7297048504</v>
      </c>
      <c r="F27" s="162">
        <f>SUM(D27:E27)</f>
        <v>-2710315.9720933475</v>
      </c>
      <c r="H27" s="162">
        <f>SUM(H25:H26)</f>
        <v>-669971.25366027793</v>
      </c>
      <c r="I27" s="162">
        <f>SUM(I25:I26)</f>
        <v>-2170940.0041746376</v>
      </c>
      <c r="J27" s="162">
        <f>SUM(H27:I27)</f>
        <v>-2840911.2578349155</v>
      </c>
    </row>
    <row r="28" spans="1:11" ht="15.75" thickTop="1" x14ac:dyDescent="0.25">
      <c r="D28" s="163">
        <f>D27-D13</f>
        <v>0</v>
      </c>
      <c r="E28" s="163">
        <f>E27-E13</f>
        <v>0</v>
      </c>
      <c r="F28" s="163">
        <f>F27-F13</f>
        <v>0</v>
      </c>
      <c r="G28" s="164"/>
      <c r="H28" s="165">
        <f>H27-H13</f>
        <v>5.3551048040390015E-9</v>
      </c>
      <c r="I28" s="165">
        <f>I27-I13</f>
        <v>3.7252902984619141E-9</v>
      </c>
      <c r="J28" s="163">
        <f>J27-J13</f>
        <v>8.8475644588470459E-9</v>
      </c>
      <c r="K28" s="164"/>
    </row>
    <row r="29" spans="1:11" x14ac:dyDescent="0.25">
      <c r="H29" s="33"/>
      <c r="I29" s="33"/>
      <c r="J29" s="33"/>
    </row>
    <row r="30" spans="1:11" x14ac:dyDescent="0.25">
      <c r="A30" s="149">
        <f>+A27+1</f>
        <v>15</v>
      </c>
      <c r="B30" s="166" t="s">
        <v>62</v>
      </c>
      <c r="C30" s="156"/>
      <c r="H30" s="167">
        <f>+H27/H6</f>
        <v>-1.0468527291683341E-2</v>
      </c>
      <c r="I30" s="167">
        <f>+I27/I6</f>
        <v>-8.6016225802981183E-2</v>
      </c>
    </row>
    <row r="31" spans="1:11" x14ac:dyDescent="0.25">
      <c r="A31" s="149">
        <f>+A30+1</f>
        <v>16</v>
      </c>
      <c r="B31" s="166" t="s">
        <v>63</v>
      </c>
      <c r="H31" s="149" t="str">
        <f>IF(ABS(H30)&gt;1%,"Yes","No")</f>
        <v>Yes</v>
      </c>
      <c r="I31" s="149" t="str">
        <f>IF(ABS(I30)&gt;1%,"Yes","No")</f>
        <v>Yes</v>
      </c>
    </row>
    <row r="32" spans="1:11" x14ac:dyDescent="0.25">
      <c r="A32" s="149">
        <f t="shared" ref="A32:A33" si="12">+A31+1</f>
        <v>17</v>
      </c>
      <c r="B32" s="168" t="s">
        <v>64</v>
      </c>
    </row>
    <row r="33" spans="1:2" x14ac:dyDescent="0.25">
      <c r="A33" s="149">
        <f t="shared" si="12"/>
        <v>18</v>
      </c>
      <c r="B33" s="168" t="s">
        <v>65</v>
      </c>
    </row>
    <row r="35" spans="1:2" x14ac:dyDescent="0.25">
      <c r="B35" s="169"/>
    </row>
    <row r="36" spans="1:2" x14ac:dyDescent="0.25">
      <c r="B36" s="169"/>
    </row>
  </sheetData>
  <pageMargins left="0.7" right="0.7" top="0.75" bottom="0.75" header="0.3" footer="0.3"/>
  <pageSetup scale="84" orientation="landscape" r:id="rId1"/>
  <headerFooter>
    <oddFooter>&amp;L&amp;F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>
      <selection activeCell="N15" sqref="N15"/>
    </sheetView>
  </sheetViews>
  <sheetFormatPr defaultRowHeight="15" x14ac:dyDescent="0.25"/>
  <cols>
    <col min="1" max="1" width="19.85546875" style="11" customWidth="1"/>
    <col min="2" max="13" width="13.42578125" style="11" customWidth="1"/>
    <col min="14" max="14" width="13.85546875" style="11" customWidth="1"/>
    <col min="15" max="16384" width="9.140625" style="11"/>
  </cols>
  <sheetData>
    <row r="1" spans="1:14" x14ac:dyDescent="0.2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x14ac:dyDescent="0.25">
      <c r="A2" s="170" t="s">
        <v>66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x14ac:dyDescent="0.25">
      <c r="A3" s="170" t="s">
        <v>87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x14ac:dyDescent="0.25">
      <c r="A4" s="170" t="s">
        <v>88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x14ac:dyDescent="0.25">
      <c r="A7" s="11" t="s">
        <v>36</v>
      </c>
      <c r="B7" s="41">
        <v>43221</v>
      </c>
      <c r="C7" s="41">
        <f>EDATE(B7,1)</f>
        <v>43252</v>
      </c>
      <c r="D7" s="41">
        <f t="shared" ref="D7:M7" si="0">EDATE(C7,1)</f>
        <v>43282</v>
      </c>
      <c r="E7" s="41">
        <f t="shared" si="0"/>
        <v>43313</v>
      </c>
      <c r="F7" s="41">
        <f t="shared" si="0"/>
        <v>43344</v>
      </c>
      <c r="G7" s="41">
        <f t="shared" si="0"/>
        <v>43374</v>
      </c>
      <c r="H7" s="41">
        <f t="shared" si="0"/>
        <v>43405</v>
      </c>
      <c r="I7" s="41">
        <f t="shared" si="0"/>
        <v>43435</v>
      </c>
      <c r="J7" s="41">
        <f t="shared" si="0"/>
        <v>43466</v>
      </c>
      <c r="K7" s="41">
        <f t="shared" si="0"/>
        <v>43497</v>
      </c>
      <c r="L7" s="41">
        <f t="shared" si="0"/>
        <v>43525</v>
      </c>
      <c r="M7" s="41">
        <f t="shared" si="0"/>
        <v>43556</v>
      </c>
      <c r="N7" s="19" t="s">
        <v>30</v>
      </c>
    </row>
    <row r="8" spans="1:14" x14ac:dyDescent="0.25">
      <c r="A8" s="42">
        <v>16</v>
      </c>
      <c r="B8" s="38">
        <v>566</v>
      </c>
      <c r="C8" s="38">
        <v>667</v>
      </c>
      <c r="D8" s="38">
        <v>619</v>
      </c>
      <c r="E8" s="38">
        <v>712</v>
      </c>
      <c r="F8" s="38">
        <v>764</v>
      </c>
      <c r="G8" s="38">
        <v>574</v>
      </c>
      <c r="H8" s="38">
        <v>568</v>
      </c>
      <c r="I8" s="38">
        <v>700</v>
      </c>
      <c r="J8" s="38">
        <v>622</v>
      </c>
      <c r="K8" s="38">
        <v>1027</v>
      </c>
      <c r="L8" s="38">
        <v>794</v>
      </c>
      <c r="M8" s="38">
        <v>644</v>
      </c>
      <c r="N8" s="27">
        <f t="shared" ref="N8:N21" si="1">SUM(B8:M8)</f>
        <v>8257</v>
      </c>
    </row>
    <row r="9" spans="1:14" x14ac:dyDescent="0.25">
      <c r="A9" s="42">
        <v>23</v>
      </c>
      <c r="B9" s="38">
        <v>29775968</v>
      </c>
      <c r="C9" s="38">
        <v>19688704</v>
      </c>
      <c r="D9" s="38">
        <v>13959340</v>
      </c>
      <c r="E9" s="38">
        <v>13275999</v>
      </c>
      <c r="F9" s="38">
        <v>18693296</v>
      </c>
      <c r="G9" s="38">
        <v>43530129</v>
      </c>
      <c r="H9" s="38">
        <v>77467639</v>
      </c>
      <c r="I9" s="38">
        <v>100204847</v>
      </c>
      <c r="J9" s="38">
        <v>93273991</v>
      </c>
      <c r="K9" s="38">
        <v>79459373</v>
      </c>
      <c r="L9" s="38">
        <v>70595695</v>
      </c>
      <c r="M9" s="38">
        <v>50485729</v>
      </c>
      <c r="N9" s="27">
        <f t="shared" si="1"/>
        <v>610410710</v>
      </c>
    </row>
    <row r="10" spans="1:14" x14ac:dyDescent="0.25">
      <c r="A10" s="42">
        <v>53</v>
      </c>
      <c r="B10" s="38">
        <v>18</v>
      </c>
      <c r="C10" s="38">
        <v>19</v>
      </c>
      <c r="D10" s="38">
        <v>6</v>
      </c>
      <c r="E10" s="38">
        <v>11</v>
      </c>
      <c r="F10" s="38">
        <v>10</v>
      </c>
      <c r="G10" s="38">
        <v>12</v>
      </c>
      <c r="H10" s="38">
        <v>41</v>
      </c>
      <c r="I10" s="38">
        <v>77</v>
      </c>
      <c r="J10" s="38">
        <v>31</v>
      </c>
      <c r="K10" s="38">
        <v>28</v>
      </c>
      <c r="L10" s="38">
        <v>25</v>
      </c>
      <c r="M10" s="38">
        <v>25</v>
      </c>
      <c r="N10" s="27">
        <f t="shared" si="1"/>
        <v>303</v>
      </c>
    </row>
    <row r="11" spans="1:14" x14ac:dyDescent="0.25">
      <c r="A11" s="42">
        <v>31</v>
      </c>
      <c r="B11" s="38">
        <v>12728109</v>
      </c>
      <c r="C11" s="38">
        <v>10013443</v>
      </c>
      <c r="D11" s="38">
        <v>7920183</v>
      </c>
      <c r="E11" s="38">
        <v>7699779</v>
      </c>
      <c r="F11" s="38">
        <v>9783399</v>
      </c>
      <c r="G11" s="38">
        <v>16403237</v>
      </c>
      <c r="H11" s="38">
        <v>25983710</v>
      </c>
      <c r="I11" s="38">
        <v>34213855</v>
      </c>
      <c r="J11" s="38">
        <v>32282944</v>
      </c>
      <c r="K11" s="38">
        <v>27288868</v>
      </c>
      <c r="L11" s="38">
        <v>25247237</v>
      </c>
      <c r="M11" s="38">
        <v>19314896</v>
      </c>
      <c r="N11" s="27">
        <f t="shared" si="1"/>
        <v>228879660</v>
      </c>
    </row>
    <row r="12" spans="1:14" x14ac:dyDescent="0.25">
      <c r="A12" s="42">
        <v>41</v>
      </c>
      <c r="B12" s="38">
        <v>4991851</v>
      </c>
      <c r="C12" s="38">
        <v>3538673</v>
      </c>
      <c r="D12" s="38">
        <v>3159502</v>
      </c>
      <c r="E12" s="38">
        <v>3500488</v>
      </c>
      <c r="F12" s="38">
        <v>3497502</v>
      </c>
      <c r="G12" s="38">
        <v>5490450</v>
      </c>
      <c r="H12" s="38">
        <v>7351386</v>
      </c>
      <c r="I12" s="38">
        <v>7918117</v>
      </c>
      <c r="J12" s="38">
        <v>7694794</v>
      </c>
      <c r="K12" s="38">
        <v>7316079</v>
      </c>
      <c r="L12" s="38">
        <v>7037393</v>
      </c>
      <c r="M12" s="38">
        <v>5850351</v>
      </c>
      <c r="N12" s="27">
        <f t="shared" si="1"/>
        <v>67346586</v>
      </c>
    </row>
    <row r="13" spans="1:14" x14ac:dyDescent="0.25">
      <c r="A13" s="42">
        <v>85</v>
      </c>
      <c r="B13" s="38">
        <v>1240410</v>
      </c>
      <c r="C13" s="38">
        <v>754565</v>
      </c>
      <c r="D13" s="38">
        <v>863714</v>
      </c>
      <c r="E13" s="38">
        <v>796018</v>
      </c>
      <c r="F13" s="38">
        <v>897584</v>
      </c>
      <c r="G13" s="38">
        <v>1585461</v>
      </c>
      <c r="H13" s="38">
        <v>1634927</v>
      </c>
      <c r="I13" s="38">
        <v>1536520</v>
      </c>
      <c r="J13" s="38">
        <v>2441882</v>
      </c>
      <c r="K13" s="38">
        <v>1499233</v>
      </c>
      <c r="L13" s="38">
        <v>1960602</v>
      </c>
      <c r="M13" s="38">
        <v>1284787</v>
      </c>
      <c r="N13" s="27">
        <f t="shared" si="1"/>
        <v>16495703</v>
      </c>
    </row>
    <row r="14" spans="1:14" x14ac:dyDescent="0.25">
      <c r="A14" s="42">
        <v>86</v>
      </c>
      <c r="B14" s="38">
        <v>521949</v>
      </c>
      <c r="C14" s="38">
        <v>292563</v>
      </c>
      <c r="D14" s="38">
        <v>219176</v>
      </c>
      <c r="E14" s="38">
        <v>249594</v>
      </c>
      <c r="F14" s="38">
        <v>195482</v>
      </c>
      <c r="G14" s="38">
        <v>757653</v>
      </c>
      <c r="H14" s="38">
        <v>959268</v>
      </c>
      <c r="I14" s="38">
        <v>1203776</v>
      </c>
      <c r="J14" s="38">
        <v>991622</v>
      </c>
      <c r="K14" s="38">
        <v>1363629</v>
      </c>
      <c r="L14" s="38">
        <v>1225016</v>
      </c>
      <c r="M14" s="38">
        <v>809243</v>
      </c>
      <c r="N14" s="27">
        <f t="shared" si="1"/>
        <v>8788971</v>
      </c>
    </row>
    <row r="15" spans="1:14" x14ac:dyDescent="0.25">
      <c r="A15" s="42">
        <v>87</v>
      </c>
      <c r="B15" s="38">
        <v>1720457</v>
      </c>
      <c r="C15" s="38">
        <v>1641595</v>
      </c>
      <c r="D15" s="38">
        <v>1203427</v>
      </c>
      <c r="E15" s="38">
        <v>1190347</v>
      </c>
      <c r="F15" s="38">
        <v>1578115</v>
      </c>
      <c r="G15" s="38">
        <v>2062164</v>
      </c>
      <c r="H15" s="38">
        <v>2342557</v>
      </c>
      <c r="I15" s="38">
        <v>3139902</v>
      </c>
      <c r="J15" s="38">
        <v>2729566</v>
      </c>
      <c r="K15" s="38">
        <v>2767130</v>
      </c>
      <c r="L15" s="38">
        <v>2164327</v>
      </c>
      <c r="M15" s="38">
        <v>2263195</v>
      </c>
      <c r="N15" s="27">
        <f t="shared" si="1"/>
        <v>24802782</v>
      </c>
    </row>
    <row r="16" spans="1:14" x14ac:dyDescent="0.25">
      <c r="A16" s="42" t="s">
        <v>60</v>
      </c>
      <c r="B16" s="38">
        <v>1544</v>
      </c>
      <c r="C16" s="38">
        <v>1600</v>
      </c>
      <c r="D16" s="38">
        <v>2018</v>
      </c>
      <c r="E16" s="38">
        <v>2215</v>
      </c>
      <c r="F16" s="38">
        <v>2493</v>
      </c>
      <c r="G16" s="38">
        <v>2979</v>
      </c>
      <c r="H16" s="38">
        <v>4385</v>
      </c>
      <c r="I16" s="38">
        <v>4324</v>
      </c>
      <c r="J16" s="38">
        <v>3204</v>
      </c>
      <c r="K16" s="38">
        <v>2897</v>
      </c>
      <c r="L16" s="38">
        <v>2359</v>
      </c>
      <c r="M16" s="38">
        <v>2040</v>
      </c>
      <c r="N16" s="27">
        <f t="shared" si="1"/>
        <v>32058</v>
      </c>
    </row>
    <row r="17" spans="1:14" x14ac:dyDescent="0.25">
      <c r="A17" s="42" t="s">
        <v>37</v>
      </c>
      <c r="B17" s="38">
        <v>2041118</v>
      </c>
      <c r="C17" s="38">
        <v>1778337</v>
      </c>
      <c r="D17" s="38">
        <v>1914875</v>
      </c>
      <c r="E17" s="38">
        <v>1803816</v>
      </c>
      <c r="F17" s="38">
        <v>1854610</v>
      </c>
      <c r="G17" s="38">
        <v>1925450</v>
      </c>
      <c r="H17" s="38">
        <v>2166110</v>
      </c>
      <c r="I17" s="38">
        <v>2398819</v>
      </c>
      <c r="J17" s="38">
        <v>2395695</v>
      </c>
      <c r="K17" s="38">
        <v>2295048</v>
      </c>
      <c r="L17" s="38">
        <v>2369461</v>
      </c>
      <c r="M17" s="38">
        <v>2253549</v>
      </c>
      <c r="N17" s="27">
        <f t="shared" si="1"/>
        <v>25196888</v>
      </c>
    </row>
    <row r="18" spans="1:14" x14ac:dyDescent="0.25">
      <c r="A18" s="42" t="s">
        <v>38</v>
      </c>
      <c r="B18" s="38">
        <v>7696710</v>
      </c>
      <c r="C18" s="38">
        <v>7226239</v>
      </c>
      <c r="D18" s="38">
        <v>7159814</v>
      </c>
      <c r="E18" s="38">
        <v>7260301</v>
      </c>
      <c r="F18" s="38">
        <v>7047165</v>
      </c>
      <c r="G18" s="38">
        <v>7240897</v>
      </c>
      <c r="H18" s="38">
        <v>7315939</v>
      </c>
      <c r="I18" s="38">
        <v>7805310</v>
      </c>
      <c r="J18" s="38">
        <v>8421441</v>
      </c>
      <c r="K18" s="38">
        <v>7551185</v>
      </c>
      <c r="L18" s="38">
        <v>8903584</v>
      </c>
      <c r="M18" s="38">
        <v>8194343</v>
      </c>
      <c r="N18" s="27">
        <f t="shared" si="1"/>
        <v>91822928</v>
      </c>
    </row>
    <row r="19" spans="1:14" x14ac:dyDescent="0.25">
      <c r="A19" s="42" t="s">
        <v>61</v>
      </c>
      <c r="B19" s="38">
        <v>53192</v>
      </c>
      <c r="C19" s="38">
        <v>43649</v>
      </c>
      <c r="D19" s="38">
        <v>37034</v>
      </c>
      <c r="E19" s="38">
        <v>26481</v>
      </c>
      <c r="F19" s="38">
        <v>29110</v>
      </c>
      <c r="G19" s="38">
        <v>42353</v>
      </c>
      <c r="H19" s="38">
        <v>50744</v>
      </c>
      <c r="I19" s="38">
        <v>42808</v>
      </c>
      <c r="J19" s="38">
        <v>56184</v>
      </c>
      <c r="K19" s="38">
        <v>55249</v>
      </c>
      <c r="L19" s="38">
        <v>48991</v>
      </c>
      <c r="M19" s="38">
        <v>52482</v>
      </c>
      <c r="N19" s="27">
        <f t="shared" si="1"/>
        <v>538277</v>
      </c>
    </row>
    <row r="20" spans="1:14" x14ac:dyDescent="0.25">
      <c r="A20" s="42" t="s">
        <v>39</v>
      </c>
      <c r="B20" s="38">
        <v>7771426</v>
      </c>
      <c r="C20" s="38">
        <v>7284759</v>
      </c>
      <c r="D20" s="38">
        <v>6924182</v>
      </c>
      <c r="E20" s="38">
        <v>7161079</v>
      </c>
      <c r="F20" s="38">
        <v>7154407</v>
      </c>
      <c r="G20" s="38">
        <v>6858867</v>
      </c>
      <c r="H20" s="38">
        <v>8064313</v>
      </c>
      <c r="I20" s="38">
        <v>8381755</v>
      </c>
      <c r="J20" s="38">
        <v>8684515</v>
      </c>
      <c r="K20" s="38">
        <v>8110073</v>
      </c>
      <c r="L20" s="38">
        <v>8477275</v>
      </c>
      <c r="M20" s="38">
        <v>7825498</v>
      </c>
      <c r="N20" s="27">
        <f t="shared" si="1"/>
        <v>92698149</v>
      </c>
    </row>
    <row r="21" spans="1:14" x14ac:dyDescent="0.25">
      <c r="A21" s="42">
        <v>99</v>
      </c>
      <c r="B21" s="38">
        <v>2647237</v>
      </c>
      <c r="C21" s="38">
        <v>2311329</v>
      </c>
      <c r="D21" s="38">
        <v>2104289</v>
      </c>
      <c r="E21" s="38">
        <v>2279280</v>
      </c>
      <c r="F21" s="38">
        <v>2712302</v>
      </c>
      <c r="G21" s="38">
        <v>3734600</v>
      </c>
      <c r="H21" s="38">
        <v>4502843</v>
      </c>
      <c r="I21" s="38">
        <v>4500649</v>
      </c>
      <c r="J21" s="38">
        <v>4878569</v>
      </c>
      <c r="K21" s="38">
        <v>3973181</v>
      </c>
      <c r="L21" s="38">
        <v>4147936</v>
      </c>
      <c r="M21" s="38">
        <v>3063859</v>
      </c>
      <c r="N21" s="27">
        <f t="shared" si="1"/>
        <v>40856074</v>
      </c>
    </row>
    <row r="22" spans="1:14" x14ac:dyDescent="0.25">
      <c r="A22" s="42" t="s">
        <v>30</v>
      </c>
      <c r="B22" s="24">
        <f>SUM(B8:B21)</f>
        <v>71190555</v>
      </c>
      <c r="C22" s="24">
        <f t="shared" ref="C22:M22" si="2">SUM(C8:C21)</f>
        <v>54576142</v>
      </c>
      <c r="D22" s="24">
        <f t="shared" si="2"/>
        <v>45468179</v>
      </c>
      <c r="E22" s="24">
        <f t="shared" si="2"/>
        <v>45246120</v>
      </c>
      <c r="F22" s="24">
        <f t="shared" si="2"/>
        <v>53446239</v>
      </c>
      <c r="G22" s="24">
        <f t="shared" si="2"/>
        <v>89634826</v>
      </c>
      <c r="H22" s="24">
        <f t="shared" si="2"/>
        <v>137844430</v>
      </c>
      <c r="I22" s="24">
        <f t="shared" si="2"/>
        <v>171351459</v>
      </c>
      <c r="J22" s="24">
        <f t="shared" si="2"/>
        <v>163855060</v>
      </c>
      <c r="K22" s="24">
        <f t="shared" si="2"/>
        <v>141683000</v>
      </c>
      <c r="L22" s="24">
        <f t="shared" si="2"/>
        <v>132180695</v>
      </c>
      <c r="M22" s="24">
        <f t="shared" si="2"/>
        <v>101400641</v>
      </c>
      <c r="N22" s="24">
        <f>SUM(N8:N21)</f>
        <v>1207877346</v>
      </c>
    </row>
    <row r="23" spans="1:14" x14ac:dyDescent="0.25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25">
      <c r="A24" s="42" t="s">
        <v>89</v>
      </c>
      <c r="B24" s="27">
        <f>SUM(B8:B12)</f>
        <v>47496512</v>
      </c>
      <c r="C24" s="27">
        <f t="shared" ref="C24:M24" si="3">SUM(C8:C12)</f>
        <v>33241506</v>
      </c>
      <c r="D24" s="27">
        <f t="shared" si="3"/>
        <v>25039650</v>
      </c>
      <c r="E24" s="27">
        <f t="shared" si="3"/>
        <v>24476989</v>
      </c>
      <c r="F24" s="27">
        <f t="shared" si="3"/>
        <v>31974971</v>
      </c>
      <c r="G24" s="27">
        <f t="shared" si="3"/>
        <v>65424402</v>
      </c>
      <c r="H24" s="27">
        <f t="shared" si="3"/>
        <v>110803344</v>
      </c>
      <c r="I24" s="27">
        <f t="shared" si="3"/>
        <v>142337596</v>
      </c>
      <c r="J24" s="27">
        <f t="shared" si="3"/>
        <v>133252382</v>
      </c>
      <c r="K24" s="27">
        <f t="shared" si="3"/>
        <v>114065375</v>
      </c>
      <c r="L24" s="27">
        <f t="shared" si="3"/>
        <v>102881144</v>
      </c>
      <c r="M24" s="27">
        <f t="shared" si="3"/>
        <v>75651645</v>
      </c>
      <c r="N24" s="27">
        <f>SUM(B24:M24)</f>
        <v>906645516</v>
      </c>
    </row>
    <row r="25" spans="1:14" x14ac:dyDescent="0.25">
      <c r="A25" s="42" t="s">
        <v>90</v>
      </c>
      <c r="B25" s="27">
        <f>SUM(B13:B15)</f>
        <v>3482816</v>
      </c>
      <c r="C25" s="27">
        <f t="shared" ref="C25:M25" si="4">SUM(C13:C15)</f>
        <v>2688723</v>
      </c>
      <c r="D25" s="27">
        <f t="shared" si="4"/>
        <v>2286317</v>
      </c>
      <c r="E25" s="27">
        <f t="shared" si="4"/>
        <v>2235959</v>
      </c>
      <c r="F25" s="27">
        <f t="shared" si="4"/>
        <v>2671181</v>
      </c>
      <c r="G25" s="27">
        <f t="shared" si="4"/>
        <v>4405278</v>
      </c>
      <c r="H25" s="27">
        <f t="shared" si="4"/>
        <v>4936752</v>
      </c>
      <c r="I25" s="27">
        <f t="shared" si="4"/>
        <v>5880198</v>
      </c>
      <c r="J25" s="27">
        <f t="shared" si="4"/>
        <v>6163070</v>
      </c>
      <c r="K25" s="27">
        <f t="shared" si="4"/>
        <v>5629992</v>
      </c>
      <c r="L25" s="27">
        <f t="shared" si="4"/>
        <v>5349945</v>
      </c>
      <c r="M25" s="27">
        <f t="shared" si="4"/>
        <v>4357225</v>
      </c>
      <c r="N25" s="27">
        <f>SUM(B25:M25)</f>
        <v>50087456</v>
      </c>
    </row>
    <row r="26" spans="1:14" x14ac:dyDescent="0.25">
      <c r="A26" s="42" t="s">
        <v>91</v>
      </c>
      <c r="B26" s="43">
        <f>SUM(B16:B21)</f>
        <v>20211227</v>
      </c>
      <c r="C26" s="43">
        <f t="shared" ref="C26:M26" si="5">SUM(C16:C21)</f>
        <v>18645913</v>
      </c>
      <c r="D26" s="43">
        <f t="shared" si="5"/>
        <v>18142212</v>
      </c>
      <c r="E26" s="43">
        <f t="shared" si="5"/>
        <v>18533172</v>
      </c>
      <c r="F26" s="43">
        <f t="shared" si="5"/>
        <v>18800087</v>
      </c>
      <c r="G26" s="43">
        <f t="shared" si="5"/>
        <v>19805146</v>
      </c>
      <c r="H26" s="43">
        <f t="shared" si="5"/>
        <v>22104334</v>
      </c>
      <c r="I26" s="43">
        <f t="shared" si="5"/>
        <v>23133665</v>
      </c>
      <c r="J26" s="43">
        <f t="shared" si="5"/>
        <v>24439608</v>
      </c>
      <c r="K26" s="43">
        <f t="shared" si="5"/>
        <v>21987633</v>
      </c>
      <c r="L26" s="43">
        <f t="shared" si="5"/>
        <v>23949606</v>
      </c>
      <c r="M26" s="43">
        <f t="shared" si="5"/>
        <v>21391771</v>
      </c>
      <c r="N26" s="43">
        <f>SUM(B26:M26)</f>
        <v>251144374</v>
      </c>
    </row>
    <row r="27" spans="1:14" x14ac:dyDescent="0.25">
      <c r="A27" s="42" t="s">
        <v>92</v>
      </c>
      <c r="B27" s="27">
        <f t="shared" ref="B27:M27" si="6">SUM(B24:B26)</f>
        <v>71190555</v>
      </c>
      <c r="C27" s="27">
        <f t="shared" si="6"/>
        <v>54576142</v>
      </c>
      <c r="D27" s="27">
        <f t="shared" si="6"/>
        <v>45468179</v>
      </c>
      <c r="E27" s="27">
        <f t="shared" si="6"/>
        <v>45246120</v>
      </c>
      <c r="F27" s="27">
        <f t="shared" si="6"/>
        <v>53446239</v>
      </c>
      <c r="G27" s="27">
        <f t="shared" si="6"/>
        <v>89634826</v>
      </c>
      <c r="H27" s="27">
        <f t="shared" si="6"/>
        <v>137844430</v>
      </c>
      <c r="I27" s="27">
        <f t="shared" si="6"/>
        <v>171351459</v>
      </c>
      <c r="J27" s="27">
        <f t="shared" si="6"/>
        <v>163855060</v>
      </c>
      <c r="K27" s="27">
        <f t="shared" si="6"/>
        <v>141683000</v>
      </c>
      <c r="L27" s="27">
        <f t="shared" si="6"/>
        <v>132180695</v>
      </c>
      <c r="M27" s="27">
        <f t="shared" si="6"/>
        <v>101400641</v>
      </c>
      <c r="N27" s="27">
        <f>SUM(B27:M27)</f>
        <v>1207877346</v>
      </c>
    </row>
    <row r="28" spans="1:14" x14ac:dyDescent="0.25">
      <c r="A28" s="44" t="s">
        <v>93</v>
      </c>
      <c r="B28" s="45">
        <f>B22-B27</f>
        <v>0</v>
      </c>
      <c r="C28" s="45">
        <f t="shared" ref="C28:N28" si="7">C22-C27</f>
        <v>0</v>
      </c>
      <c r="D28" s="45">
        <f t="shared" si="7"/>
        <v>0</v>
      </c>
      <c r="E28" s="45">
        <f t="shared" si="7"/>
        <v>0</v>
      </c>
      <c r="F28" s="45">
        <f t="shared" si="7"/>
        <v>0</v>
      </c>
      <c r="G28" s="45">
        <f t="shared" si="7"/>
        <v>0</v>
      </c>
      <c r="H28" s="45">
        <f t="shared" si="7"/>
        <v>0</v>
      </c>
      <c r="I28" s="45">
        <f t="shared" si="7"/>
        <v>0</v>
      </c>
      <c r="J28" s="45">
        <f t="shared" si="7"/>
        <v>0</v>
      </c>
      <c r="K28" s="45">
        <f t="shared" si="7"/>
        <v>0</v>
      </c>
      <c r="L28" s="45">
        <f t="shared" si="7"/>
        <v>0</v>
      </c>
      <c r="M28" s="45">
        <f t="shared" si="7"/>
        <v>0</v>
      </c>
      <c r="N28" s="45">
        <f t="shared" si="7"/>
        <v>0</v>
      </c>
    </row>
    <row r="30" spans="1:14" x14ac:dyDescent="0.25">
      <c r="A30" s="11" t="s">
        <v>94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62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38" sqref="I38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4"/>
  <sheetViews>
    <sheetView zoomScaleNormal="100" workbookViewId="0">
      <pane xSplit="3" ySplit="8" topLeftCell="G9" activePane="bottomRight" state="frozenSplit"/>
      <selection activeCell="T21" sqref="T21"/>
      <selection pane="topRight" activeCell="T21" sqref="T21"/>
      <selection pane="bottomLeft" activeCell="T21" sqref="T21"/>
      <selection pane="bottomRight" activeCell="M34" sqref="M34"/>
    </sheetView>
  </sheetViews>
  <sheetFormatPr defaultRowHeight="15" x14ac:dyDescent="0.25"/>
  <cols>
    <col min="1" max="1" width="2.85546875" customWidth="1"/>
    <col min="2" max="2" width="38.7109375" customWidth="1"/>
    <col min="3" max="3" width="9.140625" bestFit="1" customWidth="1"/>
    <col min="4" max="4" width="14.28515625" bestFit="1" customWidth="1"/>
    <col min="5" max="5" width="13.7109375" bestFit="1" customWidth="1"/>
    <col min="6" max="6" width="12.42578125" customWidth="1"/>
    <col min="7" max="7" width="16" customWidth="1"/>
    <col min="8" max="8" width="15.5703125" bestFit="1" customWidth="1"/>
    <col min="9" max="9" width="13.7109375" bestFit="1" customWidth="1"/>
    <col min="10" max="10" width="13.42578125" bestFit="1" customWidth="1"/>
    <col min="11" max="11" width="12.5703125" bestFit="1" customWidth="1"/>
    <col min="12" max="12" width="11.5703125" bestFit="1" customWidth="1"/>
    <col min="13" max="13" width="12.28515625" bestFit="1" customWidth="1"/>
    <col min="14" max="14" width="12.5703125" bestFit="1" customWidth="1"/>
    <col min="15" max="15" width="13.42578125" bestFit="1" customWidth="1"/>
    <col min="16" max="17" width="13.42578125" customWidth="1"/>
    <col min="18" max="18" width="12.5703125" bestFit="1" customWidth="1"/>
    <col min="19" max="19" width="15.7109375" bestFit="1" customWidth="1"/>
    <col min="20" max="20" width="13" customWidth="1"/>
    <col min="21" max="21" width="8.85546875" bestFit="1" customWidth="1"/>
    <col min="22" max="22" width="13.7109375" bestFit="1" customWidth="1"/>
  </cols>
  <sheetData>
    <row r="1" spans="2:21" x14ac:dyDescent="0.25"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1" x14ac:dyDescent="0.25">
      <c r="B2" s="171" t="s">
        <v>66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2:21" x14ac:dyDescent="0.25">
      <c r="B3" s="172" t="s">
        <v>100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2:21" x14ac:dyDescent="0.25">
      <c r="B4" s="172" t="s">
        <v>101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2:21" x14ac:dyDescent="0.25">
      <c r="F5" s="12"/>
      <c r="N5" s="12"/>
      <c r="R5" s="12"/>
    </row>
    <row r="6" spans="2:21" x14ac:dyDescent="0.25">
      <c r="B6" s="47"/>
      <c r="C6" s="47"/>
      <c r="D6" s="47" t="s">
        <v>102</v>
      </c>
      <c r="E6" s="47" t="s">
        <v>102</v>
      </c>
      <c r="F6" s="47"/>
      <c r="G6" s="47" t="s">
        <v>103</v>
      </c>
      <c r="H6" s="12"/>
      <c r="I6" s="47"/>
      <c r="J6" s="47"/>
      <c r="K6" s="47"/>
      <c r="L6" s="47"/>
      <c r="M6" s="47"/>
      <c r="N6" s="47"/>
      <c r="O6" s="47"/>
      <c r="P6" s="47" t="s">
        <v>104</v>
      </c>
      <c r="Q6" s="47" t="s">
        <v>104</v>
      </c>
      <c r="R6" s="47"/>
      <c r="S6" s="48" t="s">
        <v>105</v>
      </c>
      <c r="T6" s="48" t="s">
        <v>106</v>
      </c>
      <c r="U6" s="47"/>
    </row>
    <row r="7" spans="2:21" x14ac:dyDescent="0.25">
      <c r="B7" s="47"/>
      <c r="C7" s="47" t="s">
        <v>107</v>
      </c>
      <c r="D7" s="47" t="s">
        <v>108</v>
      </c>
      <c r="E7" s="47" t="s">
        <v>109</v>
      </c>
      <c r="F7" s="47" t="s">
        <v>110</v>
      </c>
      <c r="G7" s="47" t="s">
        <v>33</v>
      </c>
      <c r="H7" s="12" t="s">
        <v>103</v>
      </c>
      <c r="I7" s="47" t="s">
        <v>111</v>
      </c>
      <c r="J7" s="47" t="s">
        <v>112</v>
      </c>
      <c r="K7" s="47" t="s">
        <v>113</v>
      </c>
      <c r="L7" s="47" t="s">
        <v>114</v>
      </c>
      <c r="M7" s="47" t="s">
        <v>115</v>
      </c>
      <c r="N7" s="47" t="s">
        <v>106</v>
      </c>
      <c r="O7" s="47" t="s">
        <v>116</v>
      </c>
      <c r="P7" s="47" t="s">
        <v>117</v>
      </c>
      <c r="Q7" s="47" t="s">
        <v>118</v>
      </c>
      <c r="R7" s="47" t="s">
        <v>119</v>
      </c>
      <c r="S7" s="47" t="s">
        <v>120</v>
      </c>
      <c r="T7" s="47" t="s">
        <v>7</v>
      </c>
      <c r="U7" s="47" t="s">
        <v>121</v>
      </c>
    </row>
    <row r="8" spans="2:21" ht="17.25" x14ac:dyDescent="0.25">
      <c r="B8" s="1" t="s">
        <v>9</v>
      </c>
      <c r="C8" s="1" t="s">
        <v>36</v>
      </c>
      <c r="D8" s="1" t="s">
        <v>122</v>
      </c>
      <c r="E8" s="1" t="s">
        <v>123</v>
      </c>
      <c r="F8" s="1" t="s">
        <v>124</v>
      </c>
      <c r="G8" s="49" t="s">
        <v>125</v>
      </c>
      <c r="H8" s="1" t="s">
        <v>126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  <c r="O8" s="1" t="s">
        <v>7</v>
      </c>
      <c r="P8" s="1" t="s">
        <v>7</v>
      </c>
      <c r="Q8" s="1" t="s">
        <v>7</v>
      </c>
      <c r="R8" s="1" t="s">
        <v>7</v>
      </c>
      <c r="S8" s="1" t="s">
        <v>7</v>
      </c>
      <c r="T8" s="1" t="s">
        <v>127</v>
      </c>
      <c r="U8" s="1" t="s">
        <v>128</v>
      </c>
    </row>
    <row r="9" spans="2:21" x14ac:dyDescent="0.25">
      <c r="B9" s="47" t="s">
        <v>129</v>
      </c>
      <c r="C9" s="47" t="s">
        <v>130</v>
      </c>
      <c r="D9" s="50" t="s">
        <v>131</v>
      </c>
      <c r="E9" s="51" t="s">
        <v>132</v>
      </c>
      <c r="F9" s="47" t="s">
        <v>133</v>
      </c>
      <c r="G9" s="47" t="s">
        <v>134</v>
      </c>
      <c r="H9" s="47" t="s">
        <v>135</v>
      </c>
      <c r="I9" s="47" t="s">
        <v>136</v>
      </c>
      <c r="J9" s="47" t="s">
        <v>137</v>
      </c>
      <c r="K9" s="47" t="s">
        <v>138</v>
      </c>
      <c r="L9" s="51" t="s">
        <v>139</v>
      </c>
      <c r="M9" s="47" t="s">
        <v>140</v>
      </c>
      <c r="N9" s="47" t="s">
        <v>141</v>
      </c>
      <c r="O9" s="51" t="s">
        <v>142</v>
      </c>
      <c r="P9" s="51" t="s">
        <v>143</v>
      </c>
      <c r="Q9" s="51" t="s">
        <v>144</v>
      </c>
      <c r="R9" s="47" t="s">
        <v>145</v>
      </c>
      <c r="S9" s="51" t="s">
        <v>146</v>
      </c>
      <c r="T9" s="47" t="s">
        <v>147</v>
      </c>
      <c r="U9" s="47" t="s">
        <v>148</v>
      </c>
    </row>
    <row r="10" spans="2:21" x14ac:dyDescent="0.25">
      <c r="B10" t="s">
        <v>14</v>
      </c>
      <c r="C10" s="29" t="s">
        <v>149</v>
      </c>
      <c r="D10" s="2">
        <v>577531400.48799992</v>
      </c>
      <c r="E10" s="56">
        <v>315878475.351677</v>
      </c>
      <c r="F10" s="54">
        <f t="shared" ref="F10:F15" si="0">(E10)/D10</f>
        <v>0.54694597572489978</v>
      </c>
      <c r="G10" s="52">
        <f>'Forecasted Volume'!N9+'Forecasted Volume'!N10</f>
        <v>610411013</v>
      </c>
      <c r="H10" s="4">
        <f>F10*G10</f>
        <v>333861847.09850949</v>
      </c>
      <c r="I10" s="56">
        <v>234684605.66999999</v>
      </c>
      <c r="J10" s="56">
        <v>-10346461.529999999</v>
      </c>
      <c r="K10" s="56">
        <v>10383091.33113</v>
      </c>
      <c r="L10" s="56">
        <v>4510937.38607</v>
      </c>
      <c r="M10" s="56">
        <v>-2185271.4265399999</v>
      </c>
      <c r="N10" s="56">
        <f>'Schedule 140 Revenue'!F9</f>
        <v>17158653.575430002</v>
      </c>
      <c r="O10" s="56">
        <v>0</v>
      </c>
      <c r="P10" s="56"/>
      <c r="Q10" s="56">
        <v>25521284.449999999</v>
      </c>
      <c r="R10" s="56">
        <v>3808964.7211199999</v>
      </c>
      <c r="S10" s="30">
        <f>SUM(H10:R10)</f>
        <v>617397651.27571964</v>
      </c>
      <c r="T10" s="53">
        <f>'Schedule 140 Revenue'!G9</f>
        <v>-2215791.9771900009</v>
      </c>
      <c r="U10" s="55">
        <f>T10/S10</f>
        <v>-3.5889219413315597E-3</v>
      </c>
    </row>
    <row r="11" spans="2:21" x14ac:dyDescent="0.25">
      <c r="B11" t="s">
        <v>150</v>
      </c>
      <c r="C11" s="29">
        <v>16</v>
      </c>
      <c r="D11" s="2">
        <v>9689.9889999999996</v>
      </c>
      <c r="E11" s="56">
        <v>5217.29</v>
      </c>
      <c r="F11" s="54">
        <f t="shared" si="0"/>
        <v>0.53842063185004652</v>
      </c>
      <c r="G11" s="52">
        <f>'Forecasted Volume'!N8</f>
        <v>8257</v>
      </c>
      <c r="H11" s="4">
        <f t="shared" ref="H11:H22" si="1">F11*G11</f>
        <v>4445.7391571858343</v>
      </c>
      <c r="I11" s="56">
        <v>3172.43</v>
      </c>
      <c r="J11" s="56">
        <v>-139.07</v>
      </c>
      <c r="K11" s="56">
        <v>140.45157</v>
      </c>
      <c r="L11" s="56">
        <v>0</v>
      </c>
      <c r="M11" s="56">
        <v>-29.56006</v>
      </c>
      <c r="N11" s="56">
        <f>'Schedule 140 Revenue'!F10</f>
        <v>232.10427000000001</v>
      </c>
      <c r="O11" s="56">
        <v>0</v>
      </c>
      <c r="P11" s="56">
        <v>0</v>
      </c>
      <c r="Q11" s="56">
        <v>0</v>
      </c>
      <c r="R11" s="56">
        <v>51.523679999999999</v>
      </c>
      <c r="S11" s="30">
        <f t="shared" ref="S11:S22" si="2">SUM(H11:R11)</f>
        <v>7873.6186171858344</v>
      </c>
      <c r="T11" s="53">
        <f>'Schedule 140 Revenue'!G10</f>
        <v>-29.972910000000009</v>
      </c>
      <c r="U11" s="55">
        <f t="shared" ref="U11:U23" si="3">T11/S11</f>
        <v>-3.8067515658655104E-3</v>
      </c>
    </row>
    <row r="12" spans="2:21" x14ac:dyDescent="0.25">
      <c r="B12" t="s">
        <v>16</v>
      </c>
      <c r="C12" s="29">
        <v>31</v>
      </c>
      <c r="D12" s="2">
        <v>214564223.29299998</v>
      </c>
      <c r="E12" s="56">
        <v>91794602.989999995</v>
      </c>
      <c r="F12" s="54">
        <f t="shared" si="0"/>
        <v>0.42781877417023573</v>
      </c>
      <c r="G12" s="52">
        <f>'Forecasted Volume'!N11</f>
        <v>228879660</v>
      </c>
      <c r="H12" s="4">
        <f t="shared" si="1"/>
        <v>97919015.573700339</v>
      </c>
      <c r="I12" s="56">
        <v>86534821.849999994</v>
      </c>
      <c r="J12" s="56">
        <v>-3879510.24</v>
      </c>
      <c r="K12" s="56">
        <v>3893243.0166000002</v>
      </c>
      <c r="L12" s="56">
        <v>830833.16579999996</v>
      </c>
      <c r="M12" s="56">
        <v>-567621.55680000002</v>
      </c>
      <c r="N12" s="56">
        <f>'Schedule 140 Revenue'!F11</f>
        <v>5735724.2796</v>
      </c>
      <c r="O12" s="56">
        <v>0</v>
      </c>
      <c r="P12" s="56"/>
      <c r="Q12" s="56">
        <v>9761717.5</v>
      </c>
      <c r="R12" s="56">
        <v>1318346.8416000002</v>
      </c>
      <c r="S12" s="30">
        <f t="shared" si="2"/>
        <v>201546570.43050033</v>
      </c>
      <c r="T12" s="53">
        <f>'Schedule 140 Revenue'!G11</f>
        <v>299832.35460000049</v>
      </c>
      <c r="U12" s="55">
        <f t="shared" si="3"/>
        <v>1.4876579341417879E-3</v>
      </c>
    </row>
    <row r="13" spans="2:21" x14ac:dyDescent="0.25">
      <c r="B13" t="s">
        <v>18</v>
      </c>
      <c r="C13" s="29">
        <v>41</v>
      </c>
      <c r="D13" s="2">
        <v>65990650.213</v>
      </c>
      <c r="E13" s="56">
        <v>15431297.30979717</v>
      </c>
      <c r="F13" s="54">
        <f t="shared" si="0"/>
        <v>0.23384066166932904</v>
      </c>
      <c r="G13" s="52">
        <f>'Forecasted Volume'!N12</f>
        <v>67346586</v>
      </c>
      <c r="H13" s="4">
        <f t="shared" si="1"/>
        <v>15748370.231410371</v>
      </c>
      <c r="I13" s="56">
        <v>23708058.040140003</v>
      </c>
      <c r="J13" s="56">
        <v>-1142871.56</v>
      </c>
      <c r="K13" s="56">
        <v>1145565.4278600002</v>
      </c>
      <c r="L13" s="56">
        <v>132672.77442</v>
      </c>
      <c r="M13" s="56">
        <v>-167692.99914</v>
      </c>
      <c r="N13" s="56">
        <f>'Schedule 140 Revenue'!F12</f>
        <v>668751.59898000001</v>
      </c>
      <c r="O13" s="56">
        <v>0</v>
      </c>
      <c r="P13" s="56"/>
      <c r="Q13" s="56">
        <v>1550072.2999999998</v>
      </c>
      <c r="R13" s="56">
        <v>206080.55315999998</v>
      </c>
      <c r="S13" s="30">
        <f t="shared" si="2"/>
        <v>41849006.366830364</v>
      </c>
      <c r="T13" s="53">
        <f>'Schedule 140 Revenue'!G12</f>
        <v>-54550.734659999995</v>
      </c>
      <c r="U13" s="55">
        <f t="shared" si="3"/>
        <v>-1.3035132586382517E-3</v>
      </c>
    </row>
    <row r="14" spans="2:21" x14ac:dyDescent="0.25">
      <c r="B14" t="s">
        <v>20</v>
      </c>
      <c r="C14" s="29">
        <v>85</v>
      </c>
      <c r="D14" s="2">
        <v>17139795.438999999</v>
      </c>
      <c r="E14" s="56">
        <v>1779803.68</v>
      </c>
      <c r="F14" s="54">
        <f t="shared" si="0"/>
        <v>0.10384042717045638</v>
      </c>
      <c r="G14" s="52">
        <f>'Forecasted Volume'!N13</f>
        <v>16495703</v>
      </c>
      <c r="H14" s="4">
        <f t="shared" si="1"/>
        <v>1712920.8459969789</v>
      </c>
      <c r="I14" s="56">
        <v>5510496.24902</v>
      </c>
      <c r="J14" s="56">
        <v>-280097.03999999998</v>
      </c>
      <c r="K14" s="56">
        <v>247435.54499999998</v>
      </c>
      <c r="L14" s="56">
        <v>15820.731616544548</v>
      </c>
      <c r="M14" s="56">
        <v>-7917.9374400000006</v>
      </c>
      <c r="N14" s="56">
        <f>'Schedule 140 Revenue'!F13</f>
        <v>71261.436960000006</v>
      </c>
      <c r="O14" s="56">
        <v>0</v>
      </c>
      <c r="P14" s="56">
        <v>0</v>
      </c>
      <c r="Q14" s="56">
        <v>0</v>
      </c>
      <c r="R14" s="56">
        <v>22104.242020000002</v>
      </c>
      <c r="S14" s="30">
        <f t="shared" si="2"/>
        <v>7292024.0731735229</v>
      </c>
      <c r="T14" s="53">
        <f>'Schedule 140 Revenue'!G13</f>
        <v>1484.6132699999966</v>
      </c>
      <c r="U14" s="55">
        <f t="shared" si="3"/>
        <v>2.0359412628130367E-4</v>
      </c>
    </row>
    <row r="15" spans="2:21" x14ac:dyDescent="0.25">
      <c r="B15" t="s">
        <v>22</v>
      </c>
      <c r="C15" s="29">
        <v>86</v>
      </c>
      <c r="D15" s="2">
        <v>9926029.5299999993</v>
      </c>
      <c r="E15" s="56">
        <v>2218228.5300000003</v>
      </c>
      <c r="F15" s="54">
        <f t="shared" si="0"/>
        <v>0.22347591484548004</v>
      </c>
      <c r="G15" s="52">
        <f>'Forecasted Volume'!N14</f>
        <v>8788971</v>
      </c>
      <c r="H15" s="4">
        <f t="shared" si="1"/>
        <v>1964123.3347753936</v>
      </c>
      <c r="I15" s="56">
        <v>3008077.5196199999</v>
      </c>
      <c r="J15" s="56">
        <v>-149148.84</v>
      </c>
      <c r="K15" s="56">
        <v>131834.565</v>
      </c>
      <c r="L15" s="56">
        <v>16962.714029999999</v>
      </c>
      <c r="M15" s="56">
        <v>-22236.09663</v>
      </c>
      <c r="N15" s="56">
        <f>'Schedule 140 Revenue'!F14</f>
        <v>109510.57865999998</v>
      </c>
      <c r="O15" s="56">
        <v>0</v>
      </c>
      <c r="P15" s="56"/>
      <c r="Q15" s="56">
        <v>210193.22</v>
      </c>
      <c r="R15" s="56">
        <v>27773.148359999999</v>
      </c>
      <c r="S15" s="30">
        <f t="shared" si="2"/>
        <v>5297090.1438153945</v>
      </c>
      <c r="T15" s="53">
        <f>'Schedule 140 Revenue'!G14</f>
        <v>-34540.656029999998</v>
      </c>
      <c r="U15" s="55">
        <f t="shared" si="3"/>
        <v>-6.5206849595202494E-3</v>
      </c>
    </row>
    <row r="16" spans="2:21" x14ac:dyDescent="0.25">
      <c r="B16" t="s">
        <v>24</v>
      </c>
      <c r="C16" s="29">
        <v>87</v>
      </c>
      <c r="D16" s="2">
        <v>23311381.287999999</v>
      </c>
      <c r="E16" s="56">
        <v>1187589.3799999999</v>
      </c>
      <c r="F16" s="54">
        <f>(E16)/D16</f>
        <v>5.0944616508474996E-2</v>
      </c>
      <c r="G16" s="52">
        <f>'Forecasted Volume'!N15</f>
        <v>24802782</v>
      </c>
      <c r="H16" s="4">
        <f t="shared" si="1"/>
        <v>1263568.2173333066</v>
      </c>
      <c r="I16" s="56">
        <v>8202528.03522</v>
      </c>
      <c r="J16" s="56">
        <v>-421151.24</v>
      </c>
      <c r="K16" s="56">
        <v>372041.73</v>
      </c>
      <c r="L16" s="56">
        <v>10079.014507444945</v>
      </c>
      <c r="M16" s="56">
        <v>-9425.0571600000003</v>
      </c>
      <c r="N16" s="56">
        <f>'Schedule 140 Revenue'!F15</f>
        <v>85073.542260000002</v>
      </c>
      <c r="O16" s="56">
        <v>0</v>
      </c>
      <c r="P16" s="56">
        <v>0</v>
      </c>
      <c r="Q16" s="56">
        <v>0</v>
      </c>
      <c r="R16" s="56">
        <v>29019.254940000003</v>
      </c>
      <c r="S16" s="30">
        <f t="shared" si="2"/>
        <v>9531733.4971007518</v>
      </c>
      <c r="T16" s="53">
        <f>'Schedule 140 Revenue'!G15</f>
        <v>-12153.36318</v>
      </c>
      <c r="U16" s="55">
        <f t="shared" si="3"/>
        <v>-1.2750422768006118E-3</v>
      </c>
    </row>
    <row r="17" spans="2:24" x14ac:dyDescent="0.25">
      <c r="B17" t="s">
        <v>151</v>
      </c>
      <c r="C17" s="29" t="s">
        <v>60</v>
      </c>
      <c r="D17" s="2">
        <v>22880.93</v>
      </c>
      <c r="E17" s="56">
        <v>15719.77</v>
      </c>
      <c r="F17" s="54">
        <f>(E17)/D17</f>
        <v>0.6870249592127593</v>
      </c>
      <c r="G17" s="52">
        <f>'Forecasted Volume'!N16</f>
        <v>32058</v>
      </c>
      <c r="H17" s="4">
        <f t="shared" si="1"/>
        <v>22024.646142442638</v>
      </c>
      <c r="I17" s="56"/>
      <c r="J17" s="56"/>
      <c r="K17" s="56"/>
      <c r="L17" s="56">
        <v>116.37054000000001</v>
      </c>
      <c r="M17" s="56">
        <v>-79.503839999999997</v>
      </c>
      <c r="N17" s="56">
        <f>'Schedule 140 Revenue'!F16</f>
        <v>803.37347999999997</v>
      </c>
      <c r="O17" s="56">
        <v>0</v>
      </c>
      <c r="P17" s="56"/>
      <c r="Q17" s="56">
        <v>1367.27</v>
      </c>
      <c r="R17" s="56">
        <v>184.65408000000002</v>
      </c>
      <c r="S17" s="30">
        <f t="shared" si="2"/>
        <v>24416.810402442636</v>
      </c>
      <c r="T17" s="53">
        <f>'Schedule 140 Revenue'!G16</f>
        <v>41.995980000000067</v>
      </c>
      <c r="U17" s="55">
        <f t="shared" si="3"/>
        <v>1.7199617520803957E-3</v>
      </c>
    </row>
    <row r="18" spans="2:24" x14ac:dyDescent="0.25">
      <c r="B18" t="s">
        <v>152</v>
      </c>
      <c r="C18" t="s">
        <v>37</v>
      </c>
      <c r="D18" s="2">
        <v>17702125.890000001</v>
      </c>
      <c r="E18" s="56">
        <v>3766988.9135490004</v>
      </c>
      <c r="F18" s="54">
        <f t="shared" ref="F18:F23" si="4">(E18)/D18</f>
        <v>0.21279867384046722</v>
      </c>
      <c r="G18" s="52">
        <f>'Forecasted Volume'!N17</f>
        <v>25196888</v>
      </c>
      <c r="H18" s="4">
        <f>F18*G18</f>
        <v>5361864.3513067821</v>
      </c>
      <c r="I18" s="56"/>
      <c r="J18" s="56"/>
      <c r="K18" s="56"/>
      <c r="L18" s="56">
        <v>49637.869359999997</v>
      </c>
      <c r="M18" s="56">
        <v>-62740.251120000001</v>
      </c>
      <c r="N18" s="56">
        <f>'Schedule 140 Revenue'!F17</f>
        <v>250205.09784</v>
      </c>
      <c r="O18" s="56">
        <v>0</v>
      </c>
      <c r="P18" s="56"/>
      <c r="Q18" s="56">
        <v>541956.72</v>
      </c>
      <c r="R18" s="56">
        <v>77102.477279999992</v>
      </c>
      <c r="S18" s="30">
        <f>SUM(H18:R18)</f>
        <v>6218026.2646667818</v>
      </c>
      <c r="T18" s="53">
        <f>'Schedule 140 Revenue'!G17</f>
        <v>-20409.47928</v>
      </c>
      <c r="U18" s="55">
        <f t="shared" si="3"/>
        <v>-3.2823083099494956E-3</v>
      </c>
    </row>
    <row r="19" spans="2:24" x14ac:dyDescent="0.25">
      <c r="B19" t="s">
        <v>153</v>
      </c>
      <c r="C19" t="s">
        <v>38</v>
      </c>
      <c r="D19" s="2">
        <v>79480065.260000005</v>
      </c>
      <c r="E19" s="56">
        <v>7739355.7400000002</v>
      </c>
      <c r="F19" s="54">
        <f t="shared" si="4"/>
        <v>9.7374803539510835E-2</v>
      </c>
      <c r="G19" s="52">
        <f>'Forecasted Volume'!N18</f>
        <v>91822928</v>
      </c>
      <c r="H19" s="4">
        <f t="shared" si="1"/>
        <v>8941239.5744226482</v>
      </c>
      <c r="I19" s="56"/>
      <c r="J19" s="56"/>
      <c r="K19" s="56"/>
      <c r="L19" s="56">
        <v>81316.864627980569</v>
      </c>
      <c r="M19" s="56">
        <v>-44075.005440000001</v>
      </c>
      <c r="N19" s="56">
        <f>'Schedule 140 Revenue'!F18</f>
        <v>396675.04895999999</v>
      </c>
      <c r="O19" s="56">
        <v>0</v>
      </c>
      <c r="P19" s="56">
        <v>0</v>
      </c>
      <c r="Q19" s="56">
        <v>0</v>
      </c>
      <c r="R19" s="56">
        <v>123042.72352</v>
      </c>
      <c r="S19" s="30">
        <f t="shared" si="2"/>
        <v>9498199.2060906272</v>
      </c>
      <c r="T19" s="53">
        <f>'Schedule 140 Revenue'!G18</f>
        <v>8264.0635199999815</v>
      </c>
      <c r="U19" s="55">
        <f t="shared" si="3"/>
        <v>8.7006635054576783E-4</v>
      </c>
    </row>
    <row r="20" spans="2:24" x14ac:dyDescent="0.25">
      <c r="B20" t="s">
        <v>154</v>
      </c>
      <c r="C20" t="s">
        <v>61</v>
      </c>
      <c r="D20" s="2">
        <v>372634.3</v>
      </c>
      <c r="E20" s="56">
        <v>89053.23000000001</v>
      </c>
      <c r="F20" s="54">
        <f t="shared" si="4"/>
        <v>0.23898291166433153</v>
      </c>
      <c r="G20" s="52">
        <f>'Forecasted Volume'!N19</f>
        <v>538277</v>
      </c>
      <c r="H20" s="4">
        <f t="shared" si="1"/>
        <v>128639.00474194137</v>
      </c>
      <c r="I20" s="56"/>
      <c r="J20" s="56"/>
      <c r="K20" s="56"/>
      <c r="L20" s="56">
        <v>1038.8746100000001</v>
      </c>
      <c r="M20" s="56">
        <v>-1361.8408100000001</v>
      </c>
      <c r="N20" s="56">
        <f>'Schedule 140 Revenue'!F19</f>
        <v>6706.931419999999</v>
      </c>
      <c r="O20" s="56">
        <v>0</v>
      </c>
      <c r="P20" s="56"/>
      <c r="Q20" s="56">
        <v>12263.9</v>
      </c>
      <c r="R20" s="56">
        <v>1700.95532</v>
      </c>
      <c r="S20" s="30">
        <f t="shared" si="2"/>
        <v>148987.82528194139</v>
      </c>
      <c r="T20" s="53">
        <f>'Schedule 140 Revenue'!G19</f>
        <v>-2115.4286099999999</v>
      </c>
      <c r="U20" s="55">
        <f t="shared" si="3"/>
        <v>-1.4198667615939811E-2</v>
      </c>
    </row>
    <row r="21" spans="2:24" x14ac:dyDescent="0.25">
      <c r="B21" t="s">
        <v>155</v>
      </c>
      <c r="C21" t="s">
        <v>39</v>
      </c>
      <c r="D21" s="2">
        <v>99276638.950000003</v>
      </c>
      <c r="E21" s="56">
        <v>3792434.6699999995</v>
      </c>
      <c r="F21" s="54">
        <f t="shared" si="4"/>
        <v>3.8200675507457836E-2</v>
      </c>
      <c r="G21" s="52">
        <f>'Forecasted Volume'!N20</f>
        <v>92698149</v>
      </c>
      <c r="H21" s="4">
        <f t="shared" si="1"/>
        <v>3541131.9100909773</v>
      </c>
      <c r="I21" s="56"/>
      <c r="J21" s="56"/>
      <c r="K21" s="56"/>
      <c r="L21" s="56">
        <v>31726.984254067844</v>
      </c>
      <c r="M21" s="56">
        <v>-35225.296620000001</v>
      </c>
      <c r="N21" s="56">
        <f>'Schedule 140 Revenue'!F20</f>
        <v>317954.65106999996</v>
      </c>
      <c r="O21" s="56">
        <v>0</v>
      </c>
      <c r="P21" s="56">
        <v>0</v>
      </c>
      <c r="Q21" s="56">
        <v>0</v>
      </c>
      <c r="R21" s="56">
        <v>108456.83433</v>
      </c>
      <c r="S21" s="30">
        <f t="shared" si="2"/>
        <v>3964045.0831250451</v>
      </c>
      <c r="T21" s="53">
        <f>'Schedule 140 Revenue'!G20</f>
        <v>-45422.093009999997</v>
      </c>
      <c r="U21" s="55">
        <f t="shared" si="3"/>
        <v>-1.1458520793156974E-2</v>
      </c>
    </row>
    <row r="22" spans="2:24" x14ac:dyDescent="0.25">
      <c r="B22" t="s">
        <v>26</v>
      </c>
      <c r="D22" s="2">
        <v>37223237.460000001</v>
      </c>
      <c r="E22" s="56">
        <v>1507164.1009739903</v>
      </c>
      <c r="F22" s="57">
        <f t="shared" si="4"/>
        <v>4.0489871484004722E-2</v>
      </c>
      <c r="G22" s="52">
        <f>'Forecasted Volume'!N21</f>
        <v>40856074</v>
      </c>
      <c r="H22" s="4">
        <f t="shared" si="1"/>
        <v>1654257.1856009867</v>
      </c>
      <c r="I22" s="56"/>
      <c r="J22" s="56"/>
      <c r="K22" s="56"/>
      <c r="L22" s="56">
        <v>0</v>
      </c>
      <c r="M22" s="56">
        <v>-9396.8970200000003</v>
      </c>
      <c r="N22" s="56">
        <f>'Schedule 140 Revenue'!F21</f>
        <v>169552.7071</v>
      </c>
      <c r="O22" s="56">
        <v>0</v>
      </c>
      <c r="P22" s="56"/>
      <c r="Q22" s="56">
        <v>0</v>
      </c>
      <c r="R22" s="56">
        <v>58424.185820000006</v>
      </c>
      <c r="S22" s="30">
        <f t="shared" si="2"/>
        <v>1872837.1815009867</v>
      </c>
      <c r="T22" s="53">
        <f>'Schedule 140 Revenue'!G21</f>
        <v>-38404.709559999996</v>
      </c>
      <c r="U22" s="55">
        <f t="shared" si="3"/>
        <v>-2.0506165693069227E-2</v>
      </c>
    </row>
    <row r="23" spans="2:24" x14ac:dyDescent="0.25">
      <c r="B23" t="s">
        <v>30</v>
      </c>
      <c r="D23" s="58">
        <f>SUM(D10:D22)</f>
        <v>1142550753.0299997</v>
      </c>
      <c r="E23" s="59">
        <f>SUM(E10:E22)</f>
        <v>445205930.95599717</v>
      </c>
      <c r="F23" s="54">
        <f t="shared" si="4"/>
        <v>0.38965965387124252</v>
      </c>
      <c r="G23" s="58">
        <f>SUM(G10:G22)</f>
        <v>1207877346</v>
      </c>
      <c r="H23" s="59">
        <f>SUM(H10:H22)</f>
        <v>472123447.71318895</v>
      </c>
      <c r="I23" s="59">
        <f t="shared" ref="I23:K23" si="5">SUM(I10:I22)</f>
        <v>361651759.79399997</v>
      </c>
      <c r="J23" s="59">
        <f t="shared" si="5"/>
        <v>-16219379.52</v>
      </c>
      <c r="K23" s="59">
        <f t="shared" si="5"/>
        <v>16173352.067159999</v>
      </c>
      <c r="L23" s="59">
        <f>SUM(L10:L22)</f>
        <v>5681142.7498360369</v>
      </c>
      <c r="M23" s="59">
        <f t="shared" ref="M23:S23" si="6">SUM(M10:M22)</f>
        <v>-3113073.4286199999</v>
      </c>
      <c r="N23" s="59">
        <f t="shared" si="6"/>
        <v>24971104.926029999</v>
      </c>
      <c r="O23" s="59">
        <f t="shared" si="6"/>
        <v>0</v>
      </c>
      <c r="P23" s="59">
        <f t="shared" si="6"/>
        <v>0</v>
      </c>
      <c r="Q23" s="59">
        <f t="shared" si="6"/>
        <v>37598855.359999999</v>
      </c>
      <c r="R23" s="59">
        <f t="shared" si="6"/>
        <v>5781252.1152300006</v>
      </c>
      <c r="S23" s="60">
        <f t="shared" si="6"/>
        <v>904648461.77682495</v>
      </c>
      <c r="T23" s="59">
        <f>SUM(T10:T22)</f>
        <v>-2113795.3870600006</v>
      </c>
      <c r="U23" s="61">
        <f t="shared" si="3"/>
        <v>-2.3365931368614541E-3</v>
      </c>
      <c r="V23" s="4"/>
    </row>
    <row r="24" spans="2:24" s="70" customFormat="1" x14ac:dyDescent="0.25">
      <c r="B24" s="62"/>
      <c r="C24" s="63"/>
      <c r="D24" s="64"/>
      <c r="E24" s="65"/>
      <c r="F24" s="65"/>
      <c r="G24" s="66"/>
      <c r="H24" s="67"/>
      <c r="I24" s="66"/>
      <c r="J24" s="66"/>
      <c r="K24" s="66"/>
      <c r="L24" s="65"/>
      <c r="M24" s="66"/>
      <c r="N24" s="65"/>
      <c r="O24" s="65"/>
      <c r="P24" s="65"/>
      <c r="Q24" s="65"/>
      <c r="R24" s="65"/>
      <c r="S24" s="65"/>
      <c r="T24" s="68"/>
      <c r="U24" s="69"/>
    </row>
    <row r="25" spans="2:24" s="70" customFormat="1" ht="17.25" x14ac:dyDescent="0.25">
      <c r="B25" s="62" t="s">
        <v>163</v>
      </c>
      <c r="C25" s="62"/>
      <c r="D25" s="2">
        <v>397262</v>
      </c>
      <c r="E25" s="56">
        <v>6271668.1799999988</v>
      </c>
      <c r="F25" s="71">
        <f>E25/D25</f>
        <v>15.787234067189912</v>
      </c>
      <c r="G25" s="140">
        <v>356929</v>
      </c>
      <c r="H25" s="4">
        <f t="shared" ref="H25" si="7">F25*G25</f>
        <v>5634921.6683680285</v>
      </c>
      <c r="I25" s="141"/>
      <c r="J25" s="142"/>
      <c r="K25" s="142"/>
      <c r="L25" s="56">
        <v>0</v>
      </c>
      <c r="M25" s="56">
        <v>-49970.060000000005</v>
      </c>
      <c r="N25" s="56">
        <v>314097.52</v>
      </c>
      <c r="O25" s="56">
        <v>0</v>
      </c>
      <c r="P25" s="56">
        <v>0</v>
      </c>
      <c r="Q25" s="56">
        <v>0</v>
      </c>
      <c r="R25" s="143">
        <v>0</v>
      </c>
      <c r="S25" s="30">
        <f t="shared" ref="S25" si="8">SUM(H25:R25)</f>
        <v>5899049.1283680294</v>
      </c>
      <c r="T25" s="53">
        <f>'Schedule 140 Revenue'!G24</f>
        <v>-103509.41000000005</v>
      </c>
      <c r="U25" s="55">
        <f>T25/S25</f>
        <v>-1.7546795720386872E-2</v>
      </c>
      <c r="V25" s="69"/>
      <c r="W25" s="72"/>
      <c r="X25" s="73"/>
    </row>
    <row r="26" spans="2:24" s="70" customFormat="1" x14ac:dyDescent="0.25">
      <c r="B26" s="74" t="s">
        <v>30</v>
      </c>
      <c r="C26" s="74"/>
      <c r="D26" s="75"/>
      <c r="E26" s="76">
        <f>E23+E25</f>
        <v>451477599.13599718</v>
      </c>
      <c r="F26" s="77"/>
      <c r="G26" s="77"/>
      <c r="H26" s="76">
        <f>H23+H25</f>
        <v>477758369.38155699</v>
      </c>
      <c r="I26" s="76">
        <f t="shared" ref="I26:K26" si="9">I23+I25</f>
        <v>361651759.79399997</v>
      </c>
      <c r="J26" s="76">
        <f t="shared" si="9"/>
        <v>-16219379.52</v>
      </c>
      <c r="K26" s="76">
        <f t="shared" si="9"/>
        <v>16173352.067159999</v>
      </c>
      <c r="L26" s="76">
        <f>L23+L25</f>
        <v>5681142.7498360369</v>
      </c>
      <c r="M26" s="76">
        <f t="shared" ref="M26:T26" si="10">M23+M25</f>
        <v>-3163043.48862</v>
      </c>
      <c r="N26" s="76">
        <f t="shared" si="10"/>
        <v>25285202.446029998</v>
      </c>
      <c r="O26" s="76">
        <f t="shared" si="10"/>
        <v>0</v>
      </c>
      <c r="P26" s="76">
        <f t="shared" si="10"/>
        <v>0</v>
      </c>
      <c r="Q26" s="76">
        <f t="shared" si="10"/>
        <v>37598855.359999999</v>
      </c>
      <c r="R26" s="76">
        <f t="shared" si="10"/>
        <v>5781252.1152300006</v>
      </c>
      <c r="S26" s="76">
        <f t="shared" si="10"/>
        <v>910547510.90519297</v>
      </c>
      <c r="T26" s="76">
        <f t="shared" si="10"/>
        <v>-2217304.7970600007</v>
      </c>
      <c r="U26" s="61">
        <f>T26/S26</f>
        <v>-2.4351335548166344E-3</v>
      </c>
      <c r="V26" s="69"/>
    </row>
    <row r="27" spans="2:24" x14ac:dyDescent="0.25">
      <c r="D27" s="78"/>
      <c r="E27" s="4"/>
      <c r="L27" s="4"/>
      <c r="O27" s="4"/>
      <c r="P27" s="4"/>
      <c r="Q27" s="4"/>
      <c r="S27" s="4"/>
      <c r="U27" s="79"/>
    </row>
    <row r="28" spans="2:24" x14ac:dyDescent="0.25">
      <c r="D28" s="78"/>
      <c r="E28" s="4"/>
      <c r="G28" s="78"/>
      <c r="L28" s="4"/>
      <c r="O28" s="4"/>
      <c r="P28" s="4"/>
      <c r="Q28" s="4"/>
      <c r="S28" s="4"/>
      <c r="U28" s="79"/>
    </row>
    <row r="29" spans="2:24" s="70" customFormat="1" x14ac:dyDescent="0.25">
      <c r="B29" s="80" t="s">
        <v>156</v>
      </c>
      <c r="C29" s="80"/>
      <c r="D29" s="75"/>
      <c r="E29" s="81"/>
      <c r="T29" s="82"/>
      <c r="U29" s="69"/>
    </row>
    <row r="30" spans="2:24" s="70" customFormat="1" x14ac:dyDescent="0.25">
      <c r="B30" s="74" t="s">
        <v>157</v>
      </c>
      <c r="C30" s="74"/>
      <c r="D30" s="83">
        <f>D10+D11</f>
        <v>577541090.47699988</v>
      </c>
      <c r="E30" s="84">
        <f>E10+E11</f>
        <v>315883692.64167702</v>
      </c>
      <c r="F30" s="77"/>
      <c r="H30" s="84">
        <f>H10+H11</f>
        <v>333866292.83766669</v>
      </c>
      <c r="L30" s="84"/>
      <c r="O30" s="84"/>
      <c r="P30" s="84"/>
      <c r="Q30" s="84"/>
      <c r="S30" s="84">
        <f>S10+S11</f>
        <v>617405524.89433682</v>
      </c>
      <c r="T30" s="4">
        <f>SUM(T10:T11)</f>
        <v>-2215821.9501000009</v>
      </c>
      <c r="U30" s="55">
        <f t="shared" ref="U30:U37" si="11">T30/S30</f>
        <v>-3.5889247192584131E-3</v>
      </c>
      <c r="V30" s="85"/>
    </row>
    <row r="31" spans="2:24" s="70" customFormat="1" x14ac:dyDescent="0.25">
      <c r="B31" s="86" t="s">
        <v>158</v>
      </c>
      <c r="C31" s="86"/>
      <c r="D31" s="83">
        <f>D12+D17</f>
        <v>214587104.22299999</v>
      </c>
      <c r="E31" s="84">
        <f>E12+E17</f>
        <v>91810322.75999999</v>
      </c>
      <c r="F31" s="87"/>
      <c r="H31" s="84">
        <f>H12+H17</f>
        <v>97941040.219842777</v>
      </c>
      <c r="I31" s="88"/>
      <c r="J31" s="88"/>
      <c r="K31" s="88"/>
      <c r="L31" s="84"/>
      <c r="M31" s="88"/>
      <c r="N31" s="88"/>
      <c r="O31" s="84"/>
      <c r="P31" s="84"/>
      <c r="Q31" s="84"/>
      <c r="R31" s="88"/>
      <c r="S31" s="84">
        <f>S12+S17</f>
        <v>201570987.24090278</v>
      </c>
      <c r="T31" s="4">
        <f>SUM(T12,T17)</f>
        <v>299874.35058000049</v>
      </c>
      <c r="U31" s="55">
        <f t="shared" si="11"/>
        <v>1.487686073698755E-3</v>
      </c>
    </row>
    <row r="32" spans="2:24" s="70" customFormat="1" x14ac:dyDescent="0.25">
      <c r="B32" s="74" t="s">
        <v>159</v>
      </c>
      <c r="C32" s="74"/>
      <c r="D32" s="83">
        <f t="shared" ref="D32:E35" si="12">D13+D18</f>
        <v>83692776.103</v>
      </c>
      <c r="E32" s="84">
        <f t="shared" si="12"/>
        <v>19198286.22334617</v>
      </c>
      <c r="F32" s="87"/>
      <c r="H32" s="84">
        <f>H13+H18</f>
        <v>21110234.582717154</v>
      </c>
      <c r="I32" s="88"/>
      <c r="J32" s="88"/>
      <c r="K32" s="88"/>
      <c r="L32" s="84"/>
      <c r="M32" s="88"/>
      <c r="N32" s="88"/>
      <c r="O32" s="84"/>
      <c r="P32" s="84"/>
      <c r="Q32" s="84"/>
      <c r="R32" s="88"/>
      <c r="S32" s="84">
        <f>S13+S18</f>
        <v>48067032.631497145</v>
      </c>
      <c r="T32" s="4">
        <f>SUM(T13,T18)</f>
        <v>-74960.213939999987</v>
      </c>
      <c r="U32" s="55">
        <f t="shared" si="11"/>
        <v>-1.5594932708802248E-3</v>
      </c>
    </row>
    <row r="33" spans="2:21" s="70" customFormat="1" x14ac:dyDescent="0.25">
      <c r="B33" s="74" t="s">
        <v>160</v>
      </c>
      <c r="C33" s="74"/>
      <c r="D33" s="83">
        <f t="shared" si="12"/>
        <v>96619860.699000001</v>
      </c>
      <c r="E33" s="84">
        <f t="shared" si="12"/>
        <v>9519159.4199999999</v>
      </c>
      <c r="F33" s="87"/>
      <c r="H33" s="84">
        <f>H14+H19</f>
        <v>10654160.420419628</v>
      </c>
      <c r="I33" s="88"/>
      <c r="J33" s="88"/>
      <c r="K33" s="88"/>
      <c r="L33" s="84"/>
      <c r="M33" s="88"/>
      <c r="N33" s="88"/>
      <c r="O33" s="84"/>
      <c r="P33" s="84"/>
      <c r="Q33" s="84"/>
      <c r="R33" s="88"/>
      <c r="S33" s="84">
        <f>S14+S19</f>
        <v>16790223.279264152</v>
      </c>
      <c r="T33" s="4">
        <f>SUM(T14,T19)</f>
        <v>9748.6767899999777</v>
      </c>
      <c r="U33" s="55">
        <f t="shared" si="11"/>
        <v>5.806162686376868E-4</v>
      </c>
    </row>
    <row r="34" spans="2:21" s="70" customFormat="1" x14ac:dyDescent="0.25">
      <c r="B34" s="74" t="s">
        <v>161</v>
      </c>
      <c r="C34" s="74"/>
      <c r="D34" s="83">
        <f t="shared" si="12"/>
        <v>10298663.83</v>
      </c>
      <c r="E34" s="84">
        <f t="shared" si="12"/>
        <v>2307281.7600000002</v>
      </c>
      <c r="F34" s="87"/>
      <c r="H34" s="84">
        <f>H15+H20</f>
        <v>2092762.3395173349</v>
      </c>
      <c r="I34" s="88"/>
      <c r="J34" s="88"/>
      <c r="K34" s="88"/>
      <c r="L34" s="89"/>
      <c r="M34" s="88"/>
      <c r="N34" s="88"/>
      <c r="O34" s="89"/>
      <c r="P34" s="89"/>
      <c r="Q34" s="89"/>
      <c r="R34" s="88"/>
      <c r="S34" s="84">
        <f>S15+S20</f>
        <v>5446077.9690973358</v>
      </c>
      <c r="T34" s="4">
        <f>SUM(T15,T20)</f>
        <v>-36656.084640000001</v>
      </c>
      <c r="U34" s="55">
        <f t="shared" si="11"/>
        <v>-6.7307307842446465E-3</v>
      </c>
    </row>
    <row r="35" spans="2:21" s="70" customFormat="1" x14ac:dyDescent="0.25">
      <c r="B35" s="62" t="s">
        <v>162</v>
      </c>
      <c r="C35" s="62"/>
      <c r="D35" s="83">
        <f t="shared" si="12"/>
        <v>122588020.23800001</v>
      </c>
      <c r="E35" s="84">
        <f t="shared" si="12"/>
        <v>4980024.0499999989</v>
      </c>
      <c r="F35" s="87"/>
      <c r="G35" s="77"/>
      <c r="H35" s="84">
        <f>H16+H21</f>
        <v>4804700.1274242839</v>
      </c>
      <c r="I35" s="87"/>
      <c r="J35" s="87"/>
      <c r="K35" s="87"/>
      <c r="L35" s="89"/>
      <c r="M35" s="87"/>
      <c r="N35" s="87"/>
      <c r="O35" s="89"/>
      <c r="P35" s="89"/>
      <c r="Q35" s="89"/>
      <c r="R35" s="87"/>
      <c r="S35" s="84">
        <f>S16+S21</f>
        <v>13495778.580225797</v>
      </c>
      <c r="T35" s="4">
        <f>SUM(T16,T21)</f>
        <v>-57575.456189999997</v>
      </c>
      <c r="U35" s="55">
        <f t="shared" si="11"/>
        <v>-4.2661826324240648E-3</v>
      </c>
    </row>
    <row r="36" spans="2:21" s="70" customFormat="1" x14ac:dyDescent="0.25">
      <c r="B36" s="90" t="s">
        <v>26</v>
      </c>
      <c r="C36" s="62"/>
      <c r="D36" s="83">
        <f>D22</f>
        <v>37223237.460000001</v>
      </c>
      <c r="E36" s="84">
        <f>E22</f>
        <v>1507164.1009739903</v>
      </c>
      <c r="F36" s="87"/>
      <c r="G36" s="77"/>
      <c r="H36" s="84">
        <f>H22</f>
        <v>1654257.1856009867</v>
      </c>
      <c r="I36" s="87"/>
      <c r="J36" s="87"/>
      <c r="K36" s="87"/>
      <c r="L36" s="89"/>
      <c r="M36" s="87"/>
      <c r="N36" s="87"/>
      <c r="O36" s="89"/>
      <c r="P36" s="89"/>
      <c r="Q36" s="89"/>
      <c r="R36" s="87"/>
      <c r="S36" s="84">
        <f>S22</f>
        <v>1872837.1815009867</v>
      </c>
      <c r="T36" s="4">
        <f>T22</f>
        <v>-38404.709559999996</v>
      </c>
      <c r="U36" s="55">
        <f t="shared" si="11"/>
        <v>-2.0506165693069227E-2</v>
      </c>
    </row>
    <row r="37" spans="2:21" s="70" customFormat="1" x14ac:dyDescent="0.25">
      <c r="B37" s="91" t="s">
        <v>27</v>
      </c>
      <c r="C37" s="91"/>
      <c r="D37" s="92">
        <f>SUM(D30:D36)</f>
        <v>1142550753.03</v>
      </c>
      <c r="E37" s="93">
        <f>SUM(E30:E36)</f>
        <v>445205930.95599717</v>
      </c>
      <c r="F37" s="77"/>
      <c r="G37" s="77"/>
      <c r="H37" s="93">
        <f>SUM(H30:H36)</f>
        <v>472123447.71318895</v>
      </c>
      <c r="I37" s="77"/>
      <c r="J37" s="77"/>
      <c r="K37" s="87"/>
      <c r="L37" s="89"/>
      <c r="M37" s="87"/>
      <c r="N37" s="87"/>
      <c r="O37" s="89"/>
      <c r="P37" s="89"/>
      <c r="Q37" s="89"/>
      <c r="R37" s="87"/>
      <c r="S37" s="93">
        <f>SUM(S30:S36)</f>
        <v>904648461.77682519</v>
      </c>
      <c r="T37" s="93">
        <f>SUM(T30:T36)</f>
        <v>-2113795.3870600006</v>
      </c>
      <c r="U37" s="61">
        <f t="shared" si="11"/>
        <v>-2.3365931368614533E-3</v>
      </c>
    </row>
    <row r="38" spans="2:21" s="70" customFormat="1" x14ac:dyDescent="0.25">
      <c r="B38" s="62"/>
      <c r="C38" s="62"/>
      <c r="D38" s="83"/>
      <c r="E38" s="84"/>
      <c r="F38" s="77"/>
      <c r="G38" s="77"/>
      <c r="H38" s="84"/>
      <c r="I38" s="77"/>
      <c r="J38" s="77"/>
      <c r="K38" s="87"/>
      <c r="L38" s="89"/>
      <c r="M38" s="87"/>
      <c r="N38" s="87"/>
      <c r="O38" s="89"/>
      <c r="P38" s="89"/>
      <c r="Q38" s="89"/>
      <c r="R38" s="87"/>
      <c r="S38" s="84"/>
      <c r="T38" s="84"/>
      <c r="U38" s="55"/>
    </row>
    <row r="39" spans="2:21" s="70" customFormat="1" x14ac:dyDescent="0.25">
      <c r="B39" s="62" t="s">
        <v>28</v>
      </c>
      <c r="C39" s="62"/>
      <c r="D39" s="83"/>
      <c r="E39" s="84">
        <f>E25</f>
        <v>6271668.1799999988</v>
      </c>
      <c r="F39" s="77"/>
      <c r="G39" s="77"/>
      <c r="H39" s="84">
        <f>H25</f>
        <v>5634921.6683680285</v>
      </c>
      <c r="I39" s="77"/>
      <c r="J39" s="77"/>
      <c r="K39" s="87"/>
      <c r="L39" s="89"/>
      <c r="M39" s="87"/>
      <c r="N39" s="87"/>
      <c r="O39" s="89"/>
      <c r="P39" s="89"/>
      <c r="Q39" s="89"/>
      <c r="R39" s="87"/>
      <c r="S39" s="84">
        <f>S25</f>
        <v>5899049.1283680294</v>
      </c>
      <c r="T39" s="4">
        <f>T25</f>
        <v>-103509.41000000005</v>
      </c>
      <c r="U39" s="55">
        <f>T39/S39</f>
        <v>-1.7546795720386872E-2</v>
      </c>
    </row>
    <row r="40" spans="2:21" s="77" customFormat="1" x14ac:dyDescent="0.25">
      <c r="B40" s="74" t="s">
        <v>30</v>
      </c>
      <c r="C40" s="74"/>
      <c r="D40" s="92">
        <f>D39+D37</f>
        <v>1142550753.03</v>
      </c>
      <c r="E40" s="93">
        <f>E39+E37</f>
        <v>451477599.13599718</v>
      </c>
      <c r="G40" s="70"/>
      <c r="H40" s="93">
        <f>H39+H37</f>
        <v>477758369.38155699</v>
      </c>
      <c r="L40" s="89"/>
      <c r="O40" s="89"/>
      <c r="P40" s="89"/>
      <c r="Q40" s="89"/>
      <c r="S40" s="93">
        <f>S39+S37</f>
        <v>910547510.90519321</v>
      </c>
      <c r="T40" s="93">
        <f>T39+T37</f>
        <v>-2217304.7970600007</v>
      </c>
      <c r="U40" s="61">
        <f>T40/S40</f>
        <v>-2.4351335548166335E-3</v>
      </c>
    </row>
    <row r="41" spans="2:21" s="70" customFormat="1" x14ac:dyDescent="0.25">
      <c r="B41" s="77"/>
      <c r="C41" s="77"/>
      <c r="D41" s="77"/>
      <c r="E41" s="77"/>
      <c r="F41" s="77"/>
      <c r="I41" s="88"/>
      <c r="L41" s="77"/>
      <c r="N41" s="77"/>
      <c r="O41" s="77"/>
      <c r="P41" s="77"/>
      <c r="Q41" s="77"/>
      <c r="R41" s="77"/>
      <c r="S41" s="77"/>
      <c r="T41" s="94"/>
    </row>
    <row r="42" spans="2:21" ht="17.25" x14ac:dyDescent="0.25">
      <c r="B42" t="s">
        <v>164</v>
      </c>
      <c r="D42" s="78"/>
      <c r="E42" s="78"/>
      <c r="H42" s="95"/>
      <c r="L42" s="78"/>
      <c r="O42" s="78"/>
      <c r="P42" s="78"/>
      <c r="Q42" s="78"/>
      <c r="S42" s="78"/>
    </row>
    <row r="43" spans="2:21" ht="17.25" x14ac:dyDescent="0.25">
      <c r="B43" t="s">
        <v>201</v>
      </c>
      <c r="D43" s="78"/>
      <c r="E43" s="78"/>
      <c r="L43" s="78"/>
      <c r="O43" s="78"/>
      <c r="P43" s="78"/>
      <c r="Q43" s="78"/>
      <c r="S43" s="78"/>
    </row>
    <row r="44" spans="2:21" x14ac:dyDescent="0.25">
      <c r="B44" s="96"/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58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zoomScaleNormal="100" workbookViewId="0">
      <selection activeCell="G17" sqref="G17"/>
    </sheetView>
  </sheetViews>
  <sheetFormatPr defaultColWidth="9.140625" defaultRowHeight="15" x14ac:dyDescent="0.25"/>
  <cols>
    <col min="1" max="1" width="2.140625" style="98" customWidth="1"/>
    <col min="2" max="2" width="2.42578125" style="98" customWidth="1"/>
    <col min="3" max="3" width="37.140625" style="98" customWidth="1"/>
    <col min="4" max="5" width="13.140625" style="98" customWidth="1"/>
    <col min="6" max="6" width="2.7109375" style="99" customWidth="1"/>
    <col min="7" max="8" width="13.140625" style="98" customWidth="1"/>
    <col min="9" max="16384" width="9.140625" style="98"/>
  </cols>
  <sheetData>
    <row r="1" spans="2:9" x14ac:dyDescent="0.25">
      <c r="B1" s="173" t="s">
        <v>0</v>
      </c>
      <c r="C1" s="173"/>
      <c r="D1" s="173"/>
      <c r="E1" s="173"/>
      <c r="F1" s="173"/>
      <c r="G1" s="173"/>
      <c r="H1" s="173"/>
      <c r="I1" s="97"/>
    </row>
    <row r="2" spans="2:9" x14ac:dyDescent="0.25">
      <c r="B2" s="173" t="s">
        <v>66</v>
      </c>
      <c r="C2" s="173"/>
      <c r="D2" s="173"/>
      <c r="E2" s="173"/>
      <c r="F2" s="173"/>
      <c r="G2" s="173"/>
      <c r="H2" s="173"/>
      <c r="I2" s="97"/>
    </row>
    <row r="3" spans="2:9" x14ac:dyDescent="0.25">
      <c r="B3" s="171" t="s">
        <v>165</v>
      </c>
      <c r="C3" s="171"/>
      <c r="D3" s="171"/>
      <c r="E3" s="171"/>
      <c r="F3" s="171"/>
      <c r="G3" s="171"/>
      <c r="H3" s="171"/>
      <c r="I3" s="97"/>
    </row>
    <row r="4" spans="2:9" x14ac:dyDescent="0.25">
      <c r="B4" s="171" t="s">
        <v>101</v>
      </c>
      <c r="C4" s="171"/>
      <c r="D4" s="171"/>
      <c r="E4" s="171"/>
      <c r="F4" s="171"/>
      <c r="G4" s="171"/>
      <c r="H4" s="171"/>
      <c r="I4" s="97"/>
    </row>
    <row r="5" spans="2:9" x14ac:dyDescent="0.25">
      <c r="I5" s="97"/>
    </row>
    <row r="6" spans="2:9" x14ac:dyDescent="0.25">
      <c r="D6" s="100" t="s">
        <v>166</v>
      </c>
      <c r="E6" s="100"/>
      <c r="F6" s="101"/>
      <c r="G6" s="100" t="s">
        <v>167</v>
      </c>
      <c r="H6" s="100"/>
      <c r="I6" s="97"/>
    </row>
    <row r="7" spans="2:9" ht="17.25" x14ac:dyDescent="0.25">
      <c r="D7" s="102" t="s">
        <v>168</v>
      </c>
      <c r="E7" s="102" t="s">
        <v>169</v>
      </c>
      <c r="F7" s="103"/>
      <c r="G7" s="102" t="s">
        <v>170</v>
      </c>
      <c r="H7" s="102" t="s">
        <v>169</v>
      </c>
      <c r="I7" s="97"/>
    </row>
    <row r="8" spans="2:9" x14ac:dyDescent="0.25">
      <c r="B8" s="98" t="s">
        <v>171</v>
      </c>
      <c r="D8" s="104">
        <v>64</v>
      </c>
      <c r="E8" s="105"/>
      <c r="F8" s="106"/>
      <c r="G8" s="104">
        <v>64</v>
      </c>
      <c r="H8" s="105"/>
      <c r="I8" s="97"/>
    </row>
    <row r="9" spans="2:9" x14ac:dyDescent="0.25">
      <c r="D9" s="104"/>
      <c r="E9" s="105"/>
      <c r="F9" s="106"/>
      <c r="G9" s="104"/>
      <c r="H9" s="105"/>
      <c r="I9" s="97"/>
    </row>
    <row r="10" spans="2:9" x14ac:dyDescent="0.25">
      <c r="B10" s="98" t="s">
        <v>172</v>
      </c>
      <c r="D10" s="104"/>
      <c r="E10" s="105"/>
      <c r="F10" s="106"/>
      <c r="G10" s="104"/>
      <c r="H10" s="105"/>
      <c r="I10" s="97"/>
    </row>
    <row r="11" spans="2:9" x14ac:dyDescent="0.25">
      <c r="C11" s="98" t="s">
        <v>173</v>
      </c>
      <c r="D11" s="107">
        <v>11</v>
      </c>
      <c r="E11" s="105">
        <f>D11</f>
        <v>11</v>
      </c>
      <c r="F11" s="108"/>
      <c r="G11" s="109">
        <f>D11</f>
        <v>11</v>
      </c>
      <c r="H11" s="105">
        <f>G11</f>
        <v>11</v>
      </c>
    </row>
    <row r="12" spans="2:9" x14ac:dyDescent="0.25">
      <c r="C12" s="98" t="s">
        <v>174</v>
      </c>
      <c r="D12" s="110">
        <v>0</v>
      </c>
      <c r="E12" s="111">
        <f>D12</f>
        <v>0</v>
      </c>
      <c r="F12" s="108"/>
      <c r="G12" s="112">
        <f>D12</f>
        <v>0</v>
      </c>
      <c r="H12" s="111">
        <f>G12</f>
        <v>0</v>
      </c>
    </row>
    <row r="13" spans="2:9" x14ac:dyDescent="0.25">
      <c r="C13" s="98" t="s">
        <v>27</v>
      </c>
      <c r="D13" s="109">
        <f>SUM(D11:D12)</f>
        <v>11</v>
      </c>
      <c r="E13" s="109">
        <f>SUM(E11:E12)</f>
        <v>11</v>
      </c>
      <c r="F13" s="108"/>
      <c r="G13" s="109">
        <f>SUM(G11:G12)</f>
        <v>11</v>
      </c>
      <c r="H13" s="109">
        <f>SUM(H11:H12)</f>
        <v>11</v>
      </c>
    </row>
    <row r="14" spans="2:9" x14ac:dyDescent="0.25">
      <c r="D14" s="107"/>
      <c r="E14" s="105"/>
      <c r="F14" s="108"/>
      <c r="G14" s="109"/>
      <c r="H14" s="105"/>
    </row>
    <row r="15" spans="2:9" x14ac:dyDescent="0.25">
      <c r="B15" s="98" t="s">
        <v>175</v>
      </c>
      <c r="E15" s="105"/>
      <c r="H15" s="105"/>
    </row>
    <row r="16" spans="2:9" x14ac:dyDescent="0.25">
      <c r="C16" s="98" t="s">
        <v>176</v>
      </c>
      <c r="D16" s="113">
        <v>0.37464999999999998</v>
      </c>
      <c r="E16" s="105"/>
      <c r="F16" s="114"/>
      <c r="G16" s="115">
        <f>D16</f>
        <v>0.37464999999999998</v>
      </c>
      <c r="H16" s="105"/>
    </row>
    <row r="17" spans="3:8" x14ac:dyDescent="0.25">
      <c r="C17" s="98" t="s">
        <v>177</v>
      </c>
      <c r="D17" s="113">
        <v>2.811E-2</v>
      </c>
      <c r="E17" s="105"/>
      <c r="F17" s="114"/>
      <c r="G17" s="116">
        <f>'Schedule 140 Revenue'!E9</f>
        <v>2.4480000000000002E-2</v>
      </c>
      <c r="H17" s="105"/>
    </row>
    <row r="18" spans="3:8" x14ac:dyDescent="0.25">
      <c r="C18" s="98" t="s">
        <v>174</v>
      </c>
      <c r="D18" s="113">
        <v>0</v>
      </c>
      <c r="E18" s="105"/>
      <c r="F18" s="114"/>
      <c r="G18" s="115">
        <f t="shared" ref="G18:G21" si="0">D18</f>
        <v>0</v>
      </c>
      <c r="H18" s="105"/>
    </row>
    <row r="19" spans="3:8" x14ac:dyDescent="0.25">
      <c r="C19" s="98" t="s">
        <v>178</v>
      </c>
      <c r="D19" s="113">
        <v>4.181E-2</v>
      </c>
      <c r="E19" s="105"/>
      <c r="F19" s="114"/>
      <c r="G19" s="115">
        <f t="shared" si="0"/>
        <v>4.181E-2</v>
      </c>
      <c r="H19" s="105"/>
    </row>
    <row r="20" spans="3:8" x14ac:dyDescent="0.25">
      <c r="C20" s="98" t="s">
        <v>179</v>
      </c>
      <c r="D20" s="117">
        <v>7.3899999999999999E-3</v>
      </c>
      <c r="E20" s="105"/>
      <c r="F20" s="114"/>
      <c r="G20" s="115">
        <f t="shared" si="0"/>
        <v>7.3899999999999999E-3</v>
      </c>
      <c r="H20" s="105"/>
    </row>
    <row r="21" spans="3:8" x14ac:dyDescent="0.25">
      <c r="C21" s="98" t="s">
        <v>180</v>
      </c>
      <c r="D21" s="118">
        <v>6.2399999999999999E-3</v>
      </c>
      <c r="E21" s="105"/>
      <c r="F21" s="114"/>
      <c r="G21" s="115">
        <f t="shared" si="0"/>
        <v>6.2399999999999999E-3</v>
      </c>
      <c r="H21" s="105"/>
    </row>
    <row r="22" spans="3:8" x14ac:dyDescent="0.25">
      <c r="C22" s="98" t="s">
        <v>27</v>
      </c>
      <c r="D22" s="119">
        <f>SUM(D16:D21)</f>
        <v>0.45820000000000005</v>
      </c>
      <c r="E22" s="105">
        <f>ROUND(D22*D$8,2)</f>
        <v>29.32</v>
      </c>
      <c r="F22" s="114"/>
      <c r="G22" s="119">
        <f>SUM(G16:G21)</f>
        <v>0.45457000000000003</v>
      </c>
      <c r="H22" s="105">
        <f>ROUND(G22*G$8,2)</f>
        <v>29.09</v>
      </c>
    </row>
    <row r="23" spans="3:8" x14ac:dyDescent="0.25">
      <c r="D23" s="115"/>
      <c r="E23" s="105"/>
      <c r="F23" s="114"/>
      <c r="G23" s="115"/>
      <c r="H23" s="105"/>
    </row>
    <row r="24" spans="3:8" x14ac:dyDescent="0.25">
      <c r="C24" s="98" t="s">
        <v>181</v>
      </c>
      <c r="D24" s="120">
        <v>1.7010000000000001E-2</v>
      </c>
      <c r="E24" s="105">
        <f>ROUND(D24*D$8,2)</f>
        <v>1.0900000000000001</v>
      </c>
      <c r="F24" s="114"/>
      <c r="G24" s="121">
        <f>D24</f>
        <v>1.7010000000000001E-2</v>
      </c>
      <c r="H24" s="105">
        <f>ROUND(G24*G$8,2)</f>
        <v>1.0900000000000001</v>
      </c>
    </row>
    <row r="25" spans="3:8" x14ac:dyDescent="0.25">
      <c r="D25" s="122"/>
      <c r="E25" s="105"/>
      <c r="F25" s="114"/>
      <c r="G25" s="115"/>
      <c r="H25" s="105"/>
    </row>
    <row r="26" spans="3:8" x14ac:dyDescent="0.25">
      <c r="C26" s="98" t="s">
        <v>182</v>
      </c>
      <c r="D26" s="120">
        <v>-3.5799999999999998E-3</v>
      </c>
      <c r="E26" s="105">
        <f>ROUND(D26*D$8,2)</f>
        <v>-0.23</v>
      </c>
      <c r="F26" s="114"/>
      <c r="G26" s="123">
        <f>D26</f>
        <v>-3.5799999999999998E-3</v>
      </c>
      <c r="H26" s="105">
        <f>ROUND(G26*G$8,2)</f>
        <v>-0.23</v>
      </c>
    </row>
    <row r="27" spans="3:8" x14ac:dyDescent="0.25">
      <c r="D27" s="122"/>
      <c r="E27" s="105"/>
      <c r="F27" s="114"/>
      <c r="G27" s="115"/>
      <c r="H27" s="105"/>
    </row>
    <row r="28" spans="3:8" x14ac:dyDescent="0.25">
      <c r="C28" s="98" t="s">
        <v>183</v>
      </c>
      <c r="D28" s="120">
        <v>0.38446999999999998</v>
      </c>
      <c r="E28" s="105"/>
      <c r="F28" s="114"/>
      <c r="G28" s="115">
        <f>D28</f>
        <v>0.38446999999999998</v>
      </c>
      <c r="H28" s="105"/>
    </row>
    <row r="29" spans="3:8" x14ac:dyDescent="0.25">
      <c r="C29" s="98" t="s">
        <v>184</v>
      </c>
      <c r="D29" s="120">
        <v>-1.695E-2</v>
      </c>
      <c r="E29" s="105"/>
      <c r="F29" s="114"/>
      <c r="G29" s="115">
        <f t="shared" ref="G29" si="1">D29</f>
        <v>-1.695E-2</v>
      </c>
      <c r="H29" s="105"/>
    </row>
    <row r="30" spans="3:8" x14ac:dyDescent="0.25">
      <c r="C30" s="98" t="s">
        <v>27</v>
      </c>
      <c r="D30" s="119">
        <f>SUM(D28:D29)</f>
        <v>0.36751999999999996</v>
      </c>
      <c r="E30" s="105">
        <f>ROUND(D30*D$8,2)</f>
        <v>23.52</v>
      </c>
      <c r="F30" s="114"/>
      <c r="G30" s="119">
        <f>SUM(G28:G29)</f>
        <v>0.36751999999999996</v>
      </c>
      <c r="H30" s="105">
        <f>ROUND(G30*G$8,2)</f>
        <v>23.52</v>
      </c>
    </row>
    <row r="31" spans="3:8" x14ac:dyDescent="0.25">
      <c r="C31" s="98" t="s">
        <v>185</v>
      </c>
      <c r="D31" s="119">
        <f>D22+D24+D26+D30</f>
        <v>0.83915000000000006</v>
      </c>
      <c r="E31" s="124">
        <f>SUM(E22,E24,E26,E30)</f>
        <v>53.7</v>
      </c>
      <c r="F31" s="125"/>
      <c r="G31" s="119">
        <f>G22+G24+G26+G30</f>
        <v>0.83552000000000004</v>
      </c>
      <c r="H31" s="124">
        <f>SUM(H22,H24,H26,H30)</f>
        <v>53.47</v>
      </c>
    </row>
    <row r="32" spans="3:8" x14ac:dyDescent="0.25">
      <c r="E32" s="105"/>
      <c r="H32" s="105"/>
    </row>
    <row r="33" spans="2:8" x14ac:dyDescent="0.25">
      <c r="B33" s="98" t="s">
        <v>186</v>
      </c>
      <c r="D33" s="109"/>
      <c r="E33" s="105">
        <f>E13+E31</f>
        <v>64.7</v>
      </c>
      <c r="F33" s="126"/>
      <c r="G33" s="109"/>
      <c r="H33" s="105">
        <f>H13+H31</f>
        <v>64.47</v>
      </c>
    </row>
    <row r="34" spans="2:8" x14ac:dyDescent="0.25">
      <c r="B34" s="98" t="s">
        <v>187</v>
      </c>
      <c r="D34" s="109"/>
      <c r="E34" s="105"/>
      <c r="F34" s="126"/>
      <c r="G34" s="109"/>
      <c r="H34" s="105">
        <f>H33-$E33</f>
        <v>-0.23000000000000398</v>
      </c>
    </row>
    <row r="35" spans="2:8" x14ac:dyDescent="0.25">
      <c r="B35" s="98" t="s">
        <v>188</v>
      </c>
      <c r="D35" s="127"/>
      <c r="E35" s="127"/>
      <c r="F35" s="128"/>
      <c r="G35" s="127"/>
      <c r="H35" s="129">
        <f>H34/$E33</f>
        <v>-3.5548686244204633E-3</v>
      </c>
    </row>
    <row r="36" spans="2:8" x14ac:dyDescent="0.25">
      <c r="E36" s="105"/>
    </row>
    <row r="37" spans="2:8" x14ac:dyDescent="0.25">
      <c r="B37" s="98" t="s">
        <v>189</v>
      </c>
      <c r="D37" s="115">
        <f>D22+D24+D26</f>
        <v>0.4716300000000001</v>
      </c>
      <c r="E37" s="105"/>
      <c r="F37" s="125"/>
      <c r="G37" s="115">
        <f>G22+G24+G26</f>
        <v>0.46800000000000008</v>
      </c>
    </row>
    <row r="39" spans="2:8" ht="17.25" x14ac:dyDescent="0.25">
      <c r="B39" s="130" t="s">
        <v>190</v>
      </c>
    </row>
    <row r="40" spans="2:8" x14ac:dyDescent="0.25">
      <c r="C40" s="130"/>
      <c r="D40" s="130"/>
      <c r="E40" s="130"/>
      <c r="F40" s="131"/>
      <c r="G40" s="131"/>
      <c r="H40" s="131"/>
    </row>
    <row r="45" spans="2:8" ht="14.25" customHeight="1" x14ac:dyDescent="0.25"/>
  </sheetData>
  <mergeCells count="4">
    <mergeCell ref="B1:H1"/>
    <mergeCell ref="B2:H2"/>
    <mergeCell ref="B3:H3"/>
    <mergeCell ref="B4:H4"/>
  </mergeCells>
  <printOptions horizontalCentered="1"/>
  <pageMargins left="0.75" right="0.75" top="1" bottom="1" header="0.5" footer="0.5"/>
  <pageSetup scale="82" orientation="landscape" blackAndWhite="1" r:id="rId1"/>
  <headerFooter alignWithMargins="0">
    <oddFooter>&amp;L&amp;F 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E9" sqref="E9"/>
    </sheetView>
  </sheetViews>
  <sheetFormatPr defaultRowHeight="15" x14ac:dyDescent="0.25"/>
  <cols>
    <col min="1" max="1" width="38.7109375" customWidth="1"/>
    <col min="2" max="2" width="9.140625" bestFit="1" customWidth="1"/>
    <col min="3" max="3" width="15.85546875" customWidth="1"/>
    <col min="4" max="4" width="16.85546875" bestFit="1" customWidth="1"/>
    <col min="5" max="5" width="16.85546875" customWidth="1"/>
    <col min="6" max="6" width="20.42578125" customWidth="1"/>
    <col min="7" max="7" width="15.140625" customWidth="1"/>
    <col min="8" max="8" width="7.85546875" bestFit="1" customWidth="1"/>
  </cols>
  <sheetData>
    <row r="1" spans="1:9" s="133" customFormat="1" ht="15" customHeight="1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32"/>
    </row>
    <row r="2" spans="1:9" s="133" customFormat="1" ht="15" customHeight="1" x14ac:dyDescent="0.2">
      <c r="A2" s="174" t="s">
        <v>66</v>
      </c>
      <c r="B2" s="174"/>
      <c r="C2" s="174"/>
      <c r="D2" s="174"/>
      <c r="E2" s="174"/>
      <c r="F2" s="174"/>
      <c r="G2" s="174"/>
      <c r="H2" s="174"/>
      <c r="I2" s="132"/>
    </row>
    <row r="3" spans="1:9" s="133" customFormat="1" ht="15" customHeight="1" x14ac:dyDescent="0.2">
      <c r="A3" s="174" t="s">
        <v>191</v>
      </c>
      <c r="B3" s="174"/>
      <c r="C3" s="174"/>
      <c r="D3" s="174"/>
      <c r="E3" s="174"/>
      <c r="F3" s="174"/>
      <c r="G3" s="174"/>
      <c r="H3" s="174"/>
      <c r="I3" s="132"/>
    </row>
    <row r="4" spans="1:9" s="133" customFormat="1" ht="15" customHeight="1" x14ac:dyDescent="0.2">
      <c r="A4" s="174" t="s">
        <v>67</v>
      </c>
      <c r="B4" s="174"/>
      <c r="C4" s="174"/>
      <c r="D4" s="174"/>
      <c r="E4" s="174"/>
      <c r="F4" s="174"/>
      <c r="G4" s="174"/>
      <c r="H4" s="174"/>
      <c r="I4" s="132"/>
    </row>
    <row r="5" spans="1:9" x14ac:dyDescent="0.25">
      <c r="D5" s="12"/>
      <c r="E5" s="12"/>
    </row>
    <row r="6" spans="1:9" x14ac:dyDescent="0.25">
      <c r="A6" s="47"/>
      <c r="B6" s="47"/>
      <c r="C6" s="47" t="s">
        <v>103</v>
      </c>
      <c r="D6" s="47" t="s">
        <v>192</v>
      </c>
      <c r="E6" s="47" t="s">
        <v>2</v>
      </c>
      <c r="F6" s="47"/>
      <c r="G6" s="47" t="s">
        <v>106</v>
      </c>
      <c r="H6" s="47"/>
    </row>
    <row r="7" spans="1:9" x14ac:dyDescent="0.25">
      <c r="A7" s="47"/>
      <c r="B7" s="47" t="s">
        <v>107</v>
      </c>
      <c r="C7" s="47" t="s">
        <v>33</v>
      </c>
      <c r="D7" s="47" t="s">
        <v>106</v>
      </c>
      <c r="E7" s="47" t="s">
        <v>106</v>
      </c>
      <c r="F7" s="47" t="s">
        <v>103</v>
      </c>
      <c r="G7" s="47" t="s">
        <v>7</v>
      </c>
      <c r="H7" s="47" t="s">
        <v>121</v>
      </c>
    </row>
    <row r="8" spans="1:9" x14ac:dyDescent="0.25">
      <c r="A8" s="1" t="s">
        <v>9</v>
      </c>
      <c r="B8" s="1" t="s">
        <v>36</v>
      </c>
      <c r="C8" s="134" t="str">
        <f>'Rate Impacts'!G8</f>
        <v>May 18 - Apr 19</v>
      </c>
      <c r="D8" s="1" t="s">
        <v>170</v>
      </c>
      <c r="E8" s="1" t="s">
        <v>170</v>
      </c>
      <c r="F8" s="1" t="s">
        <v>7</v>
      </c>
      <c r="G8" s="1" t="s">
        <v>128</v>
      </c>
      <c r="H8" s="1" t="s">
        <v>128</v>
      </c>
    </row>
    <row r="9" spans="1:9" x14ac:dyDescent="0.25">
      <c r="A9" t="s">
        <v>14</v>
      </c>
      <c r="B9" s="29" t="s">
        <v>149</v>
      </c>
      <c r="C9" s="52">
        <f>'Forecasted Volume'!N9+'Forecasted Volume'!N10</f>
        <v>610411013</v>
      </c>
      <c r="D9" s="135">
        <v>2.8110000000000003E-2</v>
      </c>
      <c r="E9" s="138">
        <f>'Sched 140 Rates'!M11</f>
        <v>2.4480000000000002E-2</v>
      </c>
      <c r="F9" s="30">
        <f>C9*D9</f>
        <v>17158653.575430002</v>
      </c>
      <c r="G9" s="4">
        <f>(E9-D9)*C9</f>
        <v>-2215791.9771900009</v>
      </c>
      <c r="H9" s="6">
        <f>G9/F9</f>
        <v>-0.1291355389541089</v>
      </c>
    </row>
    <row r="10" spans="1:9" x14ac:dyDescent="0.25">
      <c r="A10" t="s">
        <v>150</v>
      </c>
      <c r="B10" s="29">
        <v>16</v>
      </c>
      <c r="C10" s="31">
        <f>'Forecasted Volume'!N8</f>
        <v>8257</v>
      </c>
      <c r="D10" s="135">
        <v>2.8110000000000003E-2</v>
      </c>
      <c r="E10" s="138">
        <f>'Sched 140 Rates'!M11</f>
        <v>2.4480000000000002E-2</v>
      </c>
      <c r="F10" s="30">
        <f t="shared" ref="F10:F20" si="0">C10*D10</f>
        <v>232.10427000000001</v>
      </c>
      <c r="G10" s="4">
        <f t="shared" ref="G10:G21" si="1">(E10-D10)*C10</f>
        <v>-29.972910000000009</v>
      </c>
      <c r="H10" s="6">
        <f t="shared" ref="H10:H24" si="2">G10/F10</f>
        <v>-0.1291355389541089</v>
      </c>
    </row>
    <row r="11" spans="1:9" x14ac:dyDescent="0.25">
      <c r="A11" t="s">
        <v>16</v>
      </c>
      <c r="B11" s="29">
        <v>31</v>
      </c>
      <c r="C11" s="52">
        <f>'Forecasted Volume'!N11</f>
        <v>228879660</v>
      </c>
      <c r="D11" s="135">
        <v>2.5059999999999999E-2</v>
      </c>
      <c r="E11" s="138">
        <f>'Sched 140 Rates'!M12</f>
        <v>2.6370000000000001E-2</v>
      </c>
      <c r="F11" s="30">
        <f t="shared" si="0"/>
        <v>5735724.2796</v>
      </c>
      <c r="G11" s="4">
        <f>(E11-D11)*C11</f>
        <v>299832.35460000049</v>
      </c>
      <c r="H11" s="6">
        <f t="shared" si="2"/>
        <v>5.2274541101356826E-2</v>
      </c>
    </row>
    <row r="12" spans="1:9" x14ac:dyDescent="0.25">
      <c r="A12" t="s">
        <v>18</v>
      </c>
      <c r="B12" s="29">
        <v>41</v>
      </c>
      <c r="C12" s="52">
        <f>'Forecasted Volume'!N12</f>
        <v>67346586</v>
      </c>
      <c r="D12" s="135">
        <v>9.9299999999999996E-3</v>
      </c>
      <c r="E12" s="138">
        <f>'Sched 140 Rates'!M13</f>
        <v>9.1199999999999996E-3</v>
      </c>
      <c r="F12" s="30">
        <f t="shared" si="0"/>
        <v>668751.59898000001</v>
      </c>
      <c r="G12" s="4">
        <f t="shared" si="1"/>
        <v>-54550.734659999995</v>
      </c>
      <c r="H12" s="6">
        <f t="shared" si="2"/>
        <v>-8.1570996978851951E-2</v>
      </c>
    </row>
    <row r="13" spans="1:9" x14ac:dyDescent="0.25">
      <c r="A13" t="s">
        <v>20</v>
      </c>
      <c r="B13" s="29">
        <v>85</v>
      </c>
      <c r="C13" s="52">
        <f>'Forecasted Volume'!N13</f>
        <v>16495703</v>
      </c>
      <c r="D13" s="135">
        <v>4.3200000000000001E-3</v>
      </c>
      <c r="E13" s="138">
        <f>'Sched 140 Rates'!M14</f>
        <v>4.4099999999999999E-3</v>
      </c>
      <c r="F13" s="30">
        <f t="shared" si="0"/>
        <v>71261.436960000006</v>
      </c>
      <c r="G13" s="4">
        <f t="shared" si="1"/>
        <v>1484.6132699999966</v>
      </c>
      <c r="H13" s="6">
        <f t="shared" si="2"/>
        <v>2.0833333333333284E-2</v>
      </c>
    </row>
    <row r="14" spans="1:9" x14ac:dyDescent="0.25">
      <c r="A14" t="s">
        <v>22</v>
      </c>
      <c r="B14" s="29">
        <v>86</v>
      </c>
      <c r="C14" s="52">
        <f>'Forecasted Volume'!N14</f>
        <v>8788971</v>
      </c>
      <c r="D14" s="135">
        <v>1.2459999999999999E-2</v>
      </c>
      <c r="E14" s="138">
        <f>'Sched 140 Rates'!M15</f>
        <v>8.5299999999999994E-3</v>
      </c>
      <c r="F14" s="30">
        <f t="shared" si="0"/>
        <v>109510.57865999998</v>
      </c>
      <c r="G14" s="4">
        <f t="shared" si="1"/>
        <v>-34540.656029999998</v>
      </c>
      <c r="H14" s="6">
        <f t="shared" si="2"/>
        <v>-0.3154093097913323</v>
      </c>
    </row>
    <row r="15" spans="1:9" x14ac:dyDescent="0.25">
      <c r="A15" t="s">
        <v>24</v>
      </c>
      <c r="B15" s="29">
        <v>87</v>
      </c>
      <c r="C15" s="52">
        <f>'Forecasted Volume'!N15</f>
        <v>24802782</v>
      </c>
      <c r="D15" s="135">
        <v>3.4299999999999999E-3</v>
      </c>
      <c r="E15" s="138">
        <f>'Sched 140 Rates'!M16</f>
        <v>2.9399999999999999E-3</v>
      </c>
      <c r="F15" s="30">
        <f t="shared" si="0"/>
        <v>85073.542260000002</v>
      </c>
      <c r="G15" s="4">
        <f t="shared" si="1"/>
        <v>-12153.36318</v>
      </c>
      <c r="H15" s="6">
        <f t="shared" si="2"/>
        <v>-0.14285714285714285</v>
      </c>
    </row>
    <row r="16" spans="1:9" x14ac:dyDescent="0.25">
      <c r="A16" t="s">
        <v>151</v>
      </c>
      <c r="B16" s="29" t="s">
        <v>60</v>
      </c>
      <c r="C16" s="52">
        <f>'Forecasted Volume'!N16</f>
        <v>32058</v>
      </c>
      <c r="D16" s="135">
        <v>2.5059999999999999E-2</v>
      </c>
      <c r="E16" s="138">
        <f>'Sched 140 Rates'!M12</f>
        <v>2.6370000000000001E-2</v>
      </c>
      <c r="F16" s="30">
        <f t="shared" si="0"/>
        <v>803.37347999999997</v>
      </c>
      <c r="G16" s="4">
        <f t="shared" si="1"/>
        <v>41.995980000000067</v>
      </c>
      <c r="H16" s="6">
        <f t="shared" si="2"/>
        <v>5.2274541101356826E-2</v>
      </c>
    </row>
    <row r="17" spans="1:11" x14ac:dyDescent="0.25">
      <c r="A17" t="s">
        <v>152</v>
      </c>
      <c r="B17" t="s">
        <v>37</v>
      </c>
      <c r="C17" s="52">
        <f>'Forecasted Volume'!N17</f>
        <v>25196888</v>
      </c>
      <c r="D17" s="135">
        <v>9.9299999999999996E-3</v>
      </c>
      <c r="E17" s="138">
        <f>'Sched 140 Rates'!M13</f>
        <v>9.1199999999999996E-3</v>
      </c>
      <c r="F17" s="30">
        <f t="shared" si="0"/>
        <v>250205.09784</v>
      </c>
      <c r="G17" s="4">
        <f t="shared" si="1"/>
        <v>-20409.47928</v>
      </c>
      <c r="H17" s="6">
        <f t="shared" si="2"/>
        <v>-8.1570996978851965E-2</v>
      </c>
    </row>
    <row r="18" spans="1:11" x14ac:dyDescent="0.25">
      <c r="A18" t="s">
        <v>153</v>
      </c>
      <c r="B18" t="s">
        <v>38</v>
      </c>
      <c r="C18" s="52">
        <f>'Forecasted Volume'!N18</f>
        <v>91822928</v>
      </c>
      <c r="D18" s="135">
        <v>4.3200000000000001E-3</v>
      </c>
      <c r="E18" s="138">
        <f>'Sched 140 Rates'!M14</f>
        <v>4.4099999999999999E-3</v>
      </c>
      <c r="F18" s="30">
        <f t="shared" si="0"/>
        <v>396675.04895999999</v>
      </c>
      <c r="G18" s="4">
        <f t="shared" si="1"/>
        <v>8264.0635199999815</v>
      </c>
      <c r="H18" s="6">
        <f t="shared" si="2"/>
        <v>2.0833333333333287E-2</v>
      </c>
    </row>
    <row r="19" spans="1:11" x14ac:dyDescent="0.25">
      <c r="A19" t="s">
        <v>154</v>
      </c>
      <c r="B19" t="s">
        <v>61</v>
      </c>
      <c r="C19" s="52">
        <f>'Forecasted Volume'!N19</f>
        <v>538277</v>
      </c>
      <c r="D19" s="135">
        <v>1.2459999999999999E-2</v>
      </c>
      <c r="E19" s="138">
        <f>'Sched 140 Rates'!M15</f>
        <v>8.5299999999999994E-3</v>
      </c>
      <c r="F19" s="30">
        <f t="shared" si="0"/>
        <v>6706.931419999999</v>
      </c>
      <c r="G19" s="4">
        <f t="shared" si="1"/>
        <v>-2115.4286099999999</v>
      </c>
      <c r="H19" s="6">
        <f t="shared" si="2"/>
        <v>-0.3154093097913323</v>
      </c>
    </row>
    <row r="20" spans="1:11" x14ac:dyDescent="0.25">
      <c r="A20" t="s">
        <v>155</v>
      </c>
      <c r="B20" t="s">
        <v>39</v>
      </c>
      <c r="C20" s="52">
        <f>'Forecasted Volume'!N20</f>
        <v>92698149</v>
      </c>
      <c r="D20" s="135">
        <v>3.4299999999999999E-3</v>
      </c>
      <c r="E20" s="138">
        <f>'Sched 140 Rates'!M16</f>
        <v>2.9399999999999999E-3</v>
      </c>
      <c r="F20" s="30">
        <f t="shared" si="0"/>
        <v>317954.65106999996</v>
      </c>
      <c r="G20" s="4">
        <f t="shared" si="1"/>
        <v>-45422.093009999997</v>
      </c>
      <c r="H20" s="6">
        <f t="shared" si="2"/>
        <v>-0.14285714285714288</v>
      </c>
    </row>
    <row r="21" spans="1:11" x14ac:dyDescent="0.25">
      <c r="A21" t="s">
        <v>26</v>
      </c>
      <c r="C21" s="52">
        <f>'Forecasted Volume'!N21</f>
        <v>40856074</v>
      </c>
      <c r="D21" s="136">
        <v>4.15E-3</v>
      </c>
      <c r="E21" s="139">
        <f>'Sched 140 Rates'!M17</f>
        <v>3.2100000000000002E-3</v>
      </c>
      <c r="F21" s="30">
        <f>C21*D21</f>
        <v>169552.7071</v>
      </c>
      <c r="G21" s="4">
        <f t="shared" si="1"/>
        <v>-38404.709559999996</v>
      </c>
      <c r="H21" s="6">
        <f t="shared" si="2"/>
        <v>-0.22650602409638551</v>
      </c>
    </row>
    <row r="22" spans="1:11" x14ac:dyDescent="0.25">
      <c r="A22" t="s">
        <v>30</v>
      </c>
      <c r="C22" s="58">
        <f>SUM(C9:C21)</f>
        <v>1207877346</v>
      </c>
      <c r="D22" s="54"/>
      <c r="E22" s="54"/>
      <c r="F22" s="60">
        <f t="shared" ref="F22:G22" si="3">SUM(F9:F21)</f>
        <v>24971104.926029999</v>
      </c>
      <c r="G22" s="59">
        <f t="shared" si="3"/>
        <v>-2113795.3870600006</v>
      </c>
      <c r="H22" s="8">
        <f t="shared" si="2"/>
        <v>-8.4649653802726613E-2</v>
      </c>
    </row>
    <row r="23" spans="1:11" s="70" customFormat="1" x14ac:dyDescent="0.25">
      <c r="A23" s="62"/>
      <c r="B23" s="63"/>
      <c r="C23" s="66"/>
      <c r="D23" s="65"/>
      <c r="E23" s="65"/>
      <c r="F23" s="65"/>
      <c r="G23" s="68"/>
    </row>
    <row r="24" spans="1:11" s="70" customFormat="1" x14ac:dyDescent="0.25">
      <c r="A24" s="62" t="s">
        <v>28</v>
      </c>
      <c r="B24" s="62"/>
      <c r="C24" s="140">
        <v>356929</v>
      </c>
      <c r="D24" s="137">
        <v>0.88000000000000012</v>
      </c>
      <c r="E24" s="144">
        <f>'Sched 140 Rates'!S20</f>
        <v>0.59</v>
      </c>
      <c r="F24" s="30">
        <f>D24*C24</f>
        <v>314097.52</v>
      </c>
      <c r="G24" s="4">
        <f>(E24-D24)*C24</f>
        <v>-103509.41000000005</v>
      </c>
      <c r="H24" s="6">
        <f t="shared" si="2"/>
        <v>-0.3295454545454547</v>
      </c>
      <c r="I24" s="69"/>
      <c r="J24" s="72"/>
      <c r="K24" s="73"/>
    </row>
    <row r="25" spans="1:11" s="70" customFormat="1" x14ac:dyDescent="0.25">
      <c r="A25" s="74" t="s">
        <v>30</v>
      </c>
      <c r="B25" s="74"/>
      <c r="C25" s="77"/>
      <c r="D25" s="77"/>
      <c r="E25" s="77"/>
      <c r="F25" s="76">
        <f t="shared" ref="F25:G25" si="4">F22+F24</f>
        <v>25285202.446029998</v>
      </c>
      <c r="G25" s="76">
        <f t="shared" si="4"/>
        <v>-2217304.7970600007</v>
      </c>
      <c r="H25" s="8">
        <f>G25/F25</f>
        <v>-8.7691795301727452E-2</v>
      </c>
      <c r="I25" s="69"/>
    </row>
    <row r="26" spans="1:11" x14ac:dyDescent="0.25">
      <c r="F26" s="4"/>
    </row>
    <row r="27" spans="1:11" x14ac:dyDescent="0.25">
      <c r="C27" s="78"/>
      <c r="F27" s="4"/>
    </row>
    <row r="28" spans="1:11" x14ac:dyDescent="0.25">
      <c r="A28" s="96"/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86" orientation="landscape" blackAndWhite="1" r:id="rId1"/>
  <headerFooter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2018-03-27T07:00:00+00:00</OpenedDate>
    <SignificantOrder xmlns="dc463f71-b30c-4ab2-9473-d307f9d35888">false</SignificantOrder>
    <Date1 xmlns="dc463f71-b30c-4ab2-9473-d307f9d35888">2018-04-13T07:00:00+00:00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180258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B41B189B0E984DB06BAA9439300803" ma:contentTypeVersion="68" ma:contentTypeDescription="" ma:contentTypeScope="" ma:versionID="dca655c32f2042c3f78af6a3279f39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BB4D4-7E60-46EE-8888-5BC9BAC638D7}"/>
</file>

<file path=customXml/itemProps2.xml><?xml version="1.0" encoding="utf-8"?>
<ds:datastoreItem xmlns:ds="http://schemas.openxmlformats.org/officeDocument/2006/customXml" ds:itemID="{5E2A7E3B-0C5F-4415-B149-BD5E3399619C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E41AC-E7B2-4D43-8B58-789E2EAA41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83167E-E88E-46A6-AF4E-4F6838B93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Sched 140 Rates</vt:lpstr>
      <vt:lpstr>Rev Requirement</vt:lpstr>
      <vt:lpstr>Forecasted Volume</vt:lpstr>
      <vt:lpstr>Rate Impacts--&gt;</vt:lpstr>
      <vt:lpstr>Rate Impacts</vt:lpstr>
      <vt:lpstr>Typical Res Bill</vt:lpstr>
      <vt:lpstr>Schedule 140 Revenue</vt:lpstr>
      <vt:lpstr>'Forecasted Volume'!Print_Area</vt:lpstr>
      <vt:lpstr>'Rate Impacts'!Print_Area</vt:lpstr>
      <vt:lpstr>'Sched 140 Rates'!Print_Area</vt:lpstr>
      <vt:lpstr>'Schedule 140 Revenue'!Print_Area</vt:lpstr>
      <vt:lpstr>'Typical Res Bill'!Print_Area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Huey, Lorilyn (UTC)</cp:lastModifiedBy>
  <cp:lastPrinted>2018-04-09T17:17:03Z</cp:lastPrinted>
  <dcterms:created xsi:type="dcterms:W3CDTF">2012-11-20T18:48:04Z</dcterms:created>
  <dcterms:modified xsi:type="dcterms:W3CDTF">2018-04-13T23:10:24Z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0x0101006E56B4D1795A2E4DB2F0B01679ED314A00C4B41B189B0E984DB06BAA9439300803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